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5" yWindow="1620" windowWidth="9465" windowHeight="4500" tabRatio="716" activeTab="2"/>
  </bookViews>
  <sheets>
    <sheet name="BS&amp;PLcanam" sheetId="1" r:id="rId1"/>
    <sheet name="PL I" sheetId="2" r:id="rId2"/>
    <sheet name="Thuyet minh" sheetId="3" r:id="rId3"/>
    <sheet name="Nguon von" sheetId="4" r:id="rId4"/>
    <sheet name="TSCD" sheetId="5" r:id="rId5"/>
    <sheet name="00000000" sheetId="6" state="veryHidden" r:id="rId6"/>
    <sheet name="10000000" sheetId="7" state="veryHidden" r:id="rId7"/>
    <sheet name="20000000" sheetId="8" state="veryHidden" r:id="rId8"/>
    <sheet name="30000000" sheetId="9" state="veryHidden" r:id="rId9"/>
    <sheet name="40000000" sheetId="10" state="veryHidden" r:id="rId10"/>
    <sheet name="50000000" sheetId="11" state="veryHidden" r:id="rId11"/>
    <sheet name="60000000" sheetId="12" state="veryHidden" r:id="rId12"/>
    <sheet name="70000000" sheetId="13" state="veryHidden" r:id="rId13"/>
  </sheets>
  <externalReferences>
    <externalReference r:id="rId16"/>
    <externalReference r:id="rId17"/>
    <externalReference r:id="rId18"/>
    <externalReference r:id="rId19"/>
  </externalReferences>
  <definedNames>
    <definedName name="_Fill" hidden="1">#REF!</definedName>
    <definedName name="AS2DocOpenMode" hidden="1">"AS2DocumentEdit"</definedName>
    <definedName name="DOANH_SO">'[1]NHATKY'!#REF!</definedName>
    <definedName name="LOAI_BM">'[1]NHATKY'!#REF!</definedName>
    <definedName name="LOAI_MB">'[1]NHATKY'!#REF!</definedName>
    <definedName name="_xlnm.Print_Area" localSheetId="2">'Thuyet minh'!$A$1:$K$374</definedName>
    <definedName name="_xlnm.Print_Titles" localSheetId="2">'Thuyet minh'!$1:$9</definedName>
    <definedName name="_xlnm.Print_Titles">$5:$6</definedName>
    <definedName name="STT_PH">'[1]NHATKY'!#REF!</definedName>
    <definedName name="THUE_GTGT">'[1]NHATKY'!#REF!</definedName>
  </definedNames>
  <calcPr fullCalcOnLoad="1"/>
</workbook>
</file>

<file path=xl/sharedStrings.xml><?xml version="1.0" encoding="utf-8"?>
<sst xmlns="http://schemas.openxmlformats.org/spreadsheetml/2006/main" count="739" uniqueCount="543">
  <si>
    <t>L·i trong kỳ</t>
  </si>
  <si>
    <t>Cho vay Công ty Cavico Corp</t>
  </si>
  <si>
    <t>Công ty CAVICO địa ốc</t>
  </si>
  <si>
    <t>Lãi vay phải trả Ngân hàng</t>
  </si>
  <si>
    <t>Trích trước phí kiểm toán</t>
  </si>
  <si>
    <t>Cổ tức, lợi nhuận 2010 dự kiến chia</t>
  </si>
  <si>
    <t>Doanh thu dự án Thanh Hà</t>
  </si>
  <si>
    <t>Doanh thu dự án Đambri</t>
  </si>
  <si>
    <t>Doanh thu dự án Đá Bàn</t>
  </si>
  <si>
    <t>Doanh thu dự án Cai Bảng</t>
  </si>
  <si>
    <t>Giá vốn dự án Thanh Hà</t>
  </si>
  <si>
    <t>Giá vốn dự án Đambri</t>
  </si>
  <si>
    <t>Giá vốn dự án Đá Bàn</t>
  </si>
  <si>
    <t>Giá vốn dự án Cai Bảng</t>
  </si>
  <si>
    <t>Công ty CP Cavico khai thác KS&amp;CN</t>
  </si>
  <si>
    <t>VP Cavico Corp</t>
  </si>
  <si>
    <t>Công ty CP Cavico VN</t>
  </si>
  <si>
    <t>Thuế TNDN đã trả trong năm</t>
  </si>
  <si>
    <t>Cho vay Công ty CP khảo sát thiết kế và XL Thành Công</t>
  </si>
  <si>
    <t>V.3</t>
  </si>
  <si>
    <t>V.4</t>
  </si>
  <si>
    <t>V.5</t>
  </si>
  <si>
    <t>V.6</t>
  </si>
  <si>
    <t>V.7</t>
  </si>
  <si>
    <t>V.8</t>
  </si>
  <si>
    <t>V.9</t>
  </si>
  <si>
    <t>V.10</t>
  </si>
  <si>
    <t>V.11</t>
  </si>
  <si>
    <t>V.12</t>
  </si>
  <si>
    <t>V.14</t>
  </si>
  <si>
    <t>V.15</t>
  </si>
  <si>
    <t>15.1</t>
  </si>
  <si>
    <t>15.2</t>
  </si>
  <si>
    <t>15.3</t>
  </si>
  <si>
    <t>15.4</t>
  </si>
  <si>
    <t>V.16</t>
  </si>
  <si>
    <t>V.17</t>
  </si>
  <si>
    <t>V.18</t>
  </si>
  <si>
    <t>V.19</t>
  </si>
  <si>
    <t>19.</t>
  </si>
  <si>
    <t>20.</t>
  </si>
  <si>
    <t>V.20</t>
  </si>
  <si>
    <t>21.</t>
  </si>
  <si>
    <t>22.</t>
  </si>
  <si>
    <t>V.21</t>
  </si>
  <si>
    <t>V.22</t>
  </si>
  <si>
    <t>23.</t>
  </si>
  <si>
    <t>V.23</t>
  </si>
  <si>
    <t>2.1</t>
  </si>
  <si>
    <t>2.2</t>
  </si>
  <si>
    <t xml:space="preserve">1.1. </t>
  </si>
  <si>
    <t>2. Nguån kinh phÝ</t>
  </si>
  <si>
    <t>3. Nguån kinh phÝ ®· h×nh thµnh TSC§</t>
  </si>
  <si>
    <t xml:space="preserve">Công ty CP phần Đắksrông   </t>
  </si>
  <si>
    <t>Sè d­ ngµy 31/12/2008</t>
  </si>
  <si>
    <t xml:space="preserve">4. C¸c kho¶n ph¶i thu kh¸c </t>
  </si>
  <si>
    <t>Các khoản phải thu khác</t>
  </si>
  <si>
    <t>Công ty CP Cơ điện NN Và TL II</t>
  </si>
  <si>
    <t>Phải thu khác</t>
  </si>
  <si>
    <t>Ký cược, ký quỹ ngắn hạn</t>
  </si>
  <si>
    <t>Cổ tức, lợi nhuận đã tạm chia</t>
  </si>
  <si>
    <t>Lãi tiền gửi ngân hàng, tiền cho vay</t>
  </si>
  <si>
    <t>Cổ tức, lợi nhuận được chia</t>
  </si>
  <si>
    <t>Lợi nhuận thuần trước thuế</t>
  </si>
  <si>
    <t>Các khoản điền chỉnh tăng/(Giảm) lợi nhuận</t>
  </si>
  <si>
    <t>Thu nhập chịu thuế ước tính năm hiện hành</t>
  </si>
  <si>
    <t>Thuế thu nhập doanh nghiệp phải trả ước tính</t>
  </si>
  <si>
    <t>Thuế thu nhập doanh nghiệp phải trả đầu năm</t>
  </si>
  <si>
    <t>Điều chỉnh thuế TNDN trích thiếu/(Thừa) năm trước</t>
  </si>
  <si>
    <t>Thuế thu nhập phải trả cuối năm</t>
  </si>
  <si>
    <t>Nội dung giao dịch</t>
  </si>
  <si>
    <t>Vay và lãi vay</t>
  </si>
  <si>
    <t>Công ty CP Cavico Công nghiệp và DVKT</t>
  </si>
  <si>
    <t>Cho thuê xe, bán xe</t>
  </si>
  <si>
    <t>Trả nợ</t>
  </si>
  <si>
    <t>Vay và trả</t>
  </si>
  <si>
    <t>Thuê máy</t>
  </si>
  <si>
    <t>Chi phí bảo hiểm, dự phòng</t>
  </si>
  <si>
    <t>Doanh thu dự án A Lưới</t>
  </si>
  <si>
    <t>Giá vốn dự án A Lưới</t>
  </si>
  <si>
    <t>- Chia cổ tức 2007 bù trừ công nợ</t>
  </si>
  <si>
    <t xml:space="preserve">- Góp vốn cho CVC Land </t>
  </si>
  <si>
    <t>31/12/2008</t>
  </si>
  <si>
    <t>- Vay ngắn hạn Ngân hàng</t>
  </si>
  <si>
    <t>- Nộp tiền phí quản lý 2008</t>
  </si>
  <si>
    <t>- Nhận tiền CVC VN</t>
  </si>
  <si>
    <t>- Cho vay ngắn hạn (Số dư)</t>
  </si>
  <si>
    <t>- Nhận vốn góp (Số dư)</t>
  </si>
  <si>
    <t>- ĐL TN báo nợ tiền tạm ứng, thanh toán</t>
  </si>
  <si>
    <t>- Cho thuê máy móc thiết bị (bao gồm cả VAT 5%)</t>
  </si>
  <si>
    <t>- CVC TM thanh toán lại công nợ hợp đồng không thực hiện</t>
  </si>
  <si>
    <t>- Chuyển tiền tạm ứng theo hợp đồng</t>
  </si>
  <si>
    <t>- Cho CVC Land thuê xe ôtô con</t>
  </si>
  <si>
    <t>- Bán xe con cho CVC Land</t>
  </si>
  <si>
    <t>- CVC Land thanh toán tiền thuê xe</t>
  </si>
  <si>
    <t>Các khoản đầu tư tài chính ngắn hạn</t>
  </si>
  <si>
    <t>Cho vay Công ty TNHH Cavico Việt Nam</t>
  </si>
  <si>
    <t>Hàng tồn kho</t>
  </si>
  <si>
    <t>Hàng mua đang đi đường</t>
  </si>
  <si>
    <t>Nguyên liệu, vật liệu</t>
  </si>
  <si>
    <t>Công cụ, dụng cụ</t>
  </si>
  <si>
    <t>Chi phí sản xuất kinh doanh dở dang</t>
  </si>
  <si>
    <t>Chi phí trả trước ngắn hạn</t>
  </si>
  <si>
    <t>Phương tiện 
     vận tải</t>
  </si>
  <si>
    <t>Thiết bị, dụng cụ quản lý</t>
  </si>
  <si>
    <t>Tài sản 
cố định khác</t>
  </si>
  <si>
    <t>Nhà cửa, vật kiến trúc</t>
  </si>
  <si>
    <t>Là các khoản góp vốn đầu tư và các công ty sau:</t>
  </si>
  <si>
    <t>Công ty Cổ phần Cơ điện Nông Nghiệp &amp; Thủy Lợi II</t>
  </si>
  <si>
    <t>Công ty Cổ phần Đầu Tư và Tư Vấn Nam Việt</t>
  </si>
  <si>
    <t>Công ty Cổ phần Tòa nhà Cavico Việt Nam</t>
  </si>
  <si>
    <t>Công ty Cổ phần Cavico PHI</t>
  </si>
  <si>
    <t>Vay ngắn hạn</t>
  </si>
  <si>
    <t>Thuế GTGT đầu ra</t>
  </si>
  <si>
    <t>Thuế GTGT hàng nhập khẩu</t>
  </si>
  <si>
    <t>Thuế tiêu thụ đặc biệt</t>
  </si>
  <si>
    <t>Thuế xuất nhập khẩu</t>
  </si>
  <si>
    <t>Thuế thu nhập doanh nghiệp</t>
  </si>
  <si>
    <t>Thuế thu nhập cá nhân</t>
  </si>
  <si>
    <t>Thuế tài nguyên</t>
  </si>
  <si>
    <t>Thuế nhà đất, tiền thuê đất</t>
  </si>
  <si>
    <t>Các loại thuế khác</t>
  </si>
  <si>
    <t>Các khoản phải trả, phải nộp ngắn hạn khác</t>
  </si>
  <si>
    <t>Kinh phí công đoàn</t>
  </si>
  <si>
    <t>Bảo hiểm xã hội</t>
  </si>
  <si>
    <t>Bảo hiểm y tế</t>
  </si>
  <si>
    <t>31/03/2009</t>
  </si>
  <si>
    <t>Các khoản phải trả, phải nộp khác</t>
  </si>
  <si>
    <t>Vay và nợ dài hạn</t>
  </si>
  <si>
    <t>Sè d­ ngµy 01/01/2006</t>
  </si>
  <si>
    <t>- Công ty TNHH Cavico Việt Nam</t>
  </si>
  <si>
    <t>- Ngân hàng Thương mại Cổ phần Nhà Hà Nội</t>
  </si>
  <si>
    <t>- Bà Nguyễn Thị Thanh Bình</t>
  </si>
  <si>
    <t>- Ông Bùi Quảng Hà</t>
  </si>
  <si>
    <t>- Vốn góp của các cổ đông khác</t>
  </si>
  <si>
    <t>Vốn đầu tư của chủ sở hữu</t>
  </si>
  <si>
    <t>Vốn góp đầu năm</t>
  </si>
  <si>
    <t>Vốn góp tăng trong năm</t>
  </si>
  <si>
    <t>Vốn góp giảm trong năm</t>
  </si>
  <si>
    <t>Vốn góp cuối năm</t>
  </si>
  <si>
    <t>Cổ phiếu</t>
  </si>
  <si>
    <t>Số lượng cổ phiếu đăng ký phát hành</t>
  </si>
  <si>
    <t>Số lượng cổ phiếu đã bán ra công chúng</t>
  </si>
  <si>
    <t xml:space="preserve">- Cổ phiếu phổ thông </t>
  </si>
  <si>
    <t>- Cổ phiếu ưu đãi</t>
  </si>
  <si>
    <t>Số lượng cổ phiếu được mua lại</t>
  </si>
  <si>
    <t>Số lượng cổ phiếu đang lưu hành</t>
  </si>
  <si>
    <t>- Mệnh giá cổ phiếu đang lưu hành: 10.000 đồng</t>
  </si>
  <si>
    <t>V.13</t>
  </si>
  <si>
    <t>Doanh thu dự án Buôn Tua Srah</t>
  </si>
  <si>
    <t>Doanh thu dự án An Khê</t>
  </si>
  <si>
    <t>Doanh thu dự án Đăksrông</t>
  </si>
  <si>
    <t>Doanh thu cho thuê máy móc thiết bị</t>
  </si>
  <si>
    <t>Doanh thu khác</t>
  </si>
  <si>
    <t>Giá vốn dự án Buôn Tua Srah</t>
  </si>
  <si>
    <t>Giá vốn dự án An Khê</t>
  </si>
  <si>
    <t>Giá vốn dự án Đăksrông</t>
  </si>
  <si>
    <t>Giá vốn cho thuê máy móc thiết bị</t>
  </si>
  <si>
    <t>Giá vốn hoạt động khác</t>
  </si>
  <si>
    <t>Lãi đầu tư cổ phiếu</t>
  </si>
  <si>
    <t>Thông tin về các bên liên quan</t>
  </si>
  <si>
    <t xml:space="preserve">1. </t>
  </si>
  <si>
    <t>Giao dịch với các bên liên quan</t>
  </si>
  <si>
    <t>Công ty TNHH Cavico Việt Nam</t>
  </si>
  <si>
    <t>- Chi phí phí quản lý</t>
  </si>
  <si>
    <t>- Cho thuê máy móc thiết bị</t>
  </si>
  <si>
    <t>Công ty mẹ</t>
  </si>
  <si>
    <t>Công ty CP Cavico Điện lực và Tài nguyên</t>
  </si>
  <si>
    <t>- Doanh thu lãi trả chậm</t>
  </si>
  <si>
    <t>Công ty liên kết</t>
  </si>
  <si>
    <t>Công ty CP Cavico Thương mại</t>
  </si>
  <si>
    <t>- Mua vật tư</t>
  </si>
  <si>
    <t>Công ty CP Cavico Khai thác mỏ và XD</t>
  </si>
  <si>
    <t>Công ty CP Cavico Xây dựng Thủy điện</t>
  </si>
  <si>
    <t xml:space="preserve">1.1 </t>
  </si>
  <si>
    <t>Số dư với các bên liên quan</t>
  </si>
  <si>
    <t>Công ty Cổ phần Cavico Xây dựng Cầu Hầm</t>
  </si>
  <si>
    <t>Công ty Cổ phần Cavico Khai thác mỏ và Xây dựng</t>
  </si>
  <si>
    <t>Công ty Cổ phần Cavico Thương mại</t>
  </si>
  <si>
    <t>Tài sản ngắn hạn khác</t>
  </si>
  <si>
    <t>Tạm ứng</t>
  </si>
  <si>
    <t>Người mua trả tiền trước</t>
  </si>
  <si>
    <t>Chi phí quản lý doanh nghiệp</t>
  </si>
  <si>
    <t>Chi phí nhân viên quản lý</t>
  </si>
  <si>
    <t>Chi phí vật liệu quản lý</t>
  </si>
  <si>
    <t>Chi phí đồ dùng văn phòng</t>
  </si>
  <si>
    <t>Chi phí khấu hao TSCĐ</t>
  </si>
  <si>
    <t>Thuế, phí và lệ phí</t>
  </si>
  <si>
    <t>Chi phí dịch vụ mua ngoài</t>
  </si>
  <si>
    <t>Chi phí bằng tiền khác</t>
  </si>
  <si>
    <t>Phí thầu phụ</t>
  </si>
  <si>
    <t>Phạt vi phạm làm hỏng tài sản cố định</t>
  </si>
  <si>
    <t>Hoạt động khác</t>
  </si>
  <si>
    <t>Giá trị còn lại của TSCĐ thanh lý, nhượng bán</t>
  </si>
  <si>
    <t>Xử lý chênh lệch theo kiểm kê</t>
  </si>
  <si>
    <t>Chi khác</t>
  </si>
  <si>
    <t>Cho n¨m tµi chÝnh 2007</t>
  </si>
  <si>
    <t>N¨m 2007</t>
  </si>
  <si>
    <t xml:space="preserve">15. Chi phÝ thuÕ TNDN hiÖn hµnh </t>
  </si>
  <si>
    <t>- TrÝch lËp quü khen th­ëng phóc lîi (2007+2008)</t>
  </si>
  <si>
    <t>- TrÝch lËp quü dù phßng tµi chÝnh 2008</t>
  </si>
  <si>
    <t>Chi phí lãi vay</t>
  </si>
  <si>
    <t>CÔNG TY CỔ PHẦN XÂY DỰNG NĂNG LƯỢNG</t>
  </si>
  <si>
    <t>Tầng 7, tòa nhà Sông Đà, đường Phạm Hùng, Mỹ Đình, Từ Liêm, Hà Nội</t>
  </si>
  <si>
    <t>BÁO CÁO TÀI CHÍNH</t>
  </si>
  <si>
    <t>01/01/2007</t>
  </si>
  <si>
    <t xml:space="preserve">    </t>
  </si>
  <si>
    <t>3. Doanh thu thuÇn b¸n hµng vµ cung cÊp dÞch vô (10 = 01 - 02)</t>
  </si>
  <si>
    <t xml:space="preserve"> - Nî ph¶i tr¶/Tæng nguån vèn</t>
  </si>
  <si>
    <t>ThuÕ vµ c¸c kho¶n ph¶i nép Nhµ n­íc</t>
  </si>
  <si>
    <t>C¸c th«ng tin bæ sung kh¸c</t>
  </si>
  <si>
    <t>Mét sè chØ tiªu tµi chÝnh</t>
  </si>
  <si>
    <t xml:space="preserve"> - Tû suÊt lîi nhuËn/Doanh thu</t>
  </si>
  <si>
    <t xml:space="preserve"> - Tû suÊt lîi nhuËn/Tæng tµi s¶n</t>
  </si>
  <si>
    <t>lÇn</t>
  </si>
  <si>
    <t xml:space="preserve"> - Tû suÊt lîi nhuËn /Vèn ®Çu t­ cña chñ së h÷u</t>
  </si>
  <si>
    <t>4.</t>
  </si>
  <si>
    <t>MÉu sè B 01 - DN</t>
  </si>
  <si>
    <t>Ban hµnh theo Q§ sè 167/2000/Q§-BTC ngµy 25/10/2000</t>
  </si>
  <si>
    <t>vµ söa ®æi, bæ sung theo Th«ng t­ sè 23/2005/TT-BTC</t>
  </si>
  <si>
    <t>Thu nhËp kh¸c</t>
  </si>
  <si>
    <t>Chi phÝ kh¸c</t>
  </si>
  <si>
    <t>Gi¸ trÞ hao mßn luü kÕ</t>
  </si>
  <si>
    <t>MÉu sè B 09 - DN</t>
  </si>
  <si>
    <t xml:space="preserve">B¶n ThuyÕt minh b¸o c¸o tµi chÝnh </t>
  </si>
  <si>
    <t>(tiÕp theo)</t>
  </si>
  <si>
    <t>V.</t>
  </si>
  <si>
    <t>1.</t>
  </si>
  <si>
    <t>TiÒn mÆt t¹i quü</t>
  </si>
  <si>
    <t>Tæng céng</t>
  </si>
  <si>
    <t>Chi phÝ tr¶ tr­íc dµi h¹n</t>
  </si>
  <si>
    <t>Vay vµ nî ng¾n h¹n</t>
  </si>
  <si>
    <t>Kho¶n môc</t>
  </si>
  <si>
    <t xml:space="preserve">- Nguyªn gi¸ </t>
  </si>
  <si>
    <t xml:space="preserve">- Gi¸ trÞ hao mßn luü kÕ </t>
  </si>
  <si>
    <t>Nguån vèn</t>
  </si>
  <si>
    <t>I. Nî ng¾n h¹n</t>
  </si>
  <si>
    <t>1. Ph¶i thu cña kh¸ch hµng</t>
  </si>
  <si>
    <t xml:space="preserve">Tµi s¶n </t>
  </si>
  <si>
    <t>ChØ tiªu</t>
  </si>
  <si>
    <t>V¨n phßng BVT</t>
  </si>
  <si>
    <t xml:space="preserve">2. Tr¶ tr­íc cho ng­êi b¸n </t>
  </si>
  <si>
    <t>60</t>
  </si>
  <si>
    <t>§¬n vÞ tÝnh : VND</t>
  </si>
  <si>
    <t>Chi phÝ tµi chÝnh</t>
  </si>
  <si>
    <t>3.</t>
  </si>
  <si>
    <t>VND</t>
  </si>
  <si>
    <t>Céng</t>
  </si>
  <si>
    <t>TiÒn göi ng©n hµng</t>
  </si>
  <si>
    <t>5.</t>
  </si>
  <si>
    <t>6.</t>
  </si>
  <si>
    <t>11.</t>
  </si>
  <si>
    <t>12.</t>
  </si>
  <si>
    <t>13.</t>
  </si>
  <si>
    <t>14.</t>
  </si>
  <si>
    <t>Gi¸ vèn hµng b¸n</t>
  </si>
  <si>
    <t>15.</t>
  </si>
  <si>
    <t>16.</t>
  </si>
  <si>
    <t>17.</t>
  </si>
  <si>
    <t>Doanh thu ho¹t ®éng tµi chÝnh</t>
  </si>
  <si>
    <t>8.</t>
  </si>
  <si>
    <t>I. TiÒn vµ c¸c kho¶n t­¬ng ®­¬ng tiÒn</t>
  </si>
  <si>
    <t>9.</t>
  </si>
  <si>
    <t>10.</t>
  </si>
  <si>
    <t>§¬n vÞ tÝnh</t>
  </si>
  <si>
    <t>1. Bè trÝ c¬ cÊu tµi s¶n vµ c¬ cÊu vèn</t>
  </si>
  <si>
    <t>1.1. Bè trÝ c¬ cÊu tµi s¶n</t>
  </si>
  <si>
    <t xml:space="preserve">II. Nî dµi h¹n </t>
  </si>
  <si>
    <t>6. Dù phßng trî cÊp mÊt viÖc lµm</t>
  </si>
  <si>
    <t>7. Dù phßng ph¶i tr¶ dµi h¹n</t>
  </si>
  <si>
    <t xml:space="preserve">    (400 = 410 + 430)</t>
  </si>
  <si>
    <t>3. Vèn kh¸c cña chñ së h÷u</t>
  </si>
  <si>
    <t>II. Nguån kinh phÝ vµ quü kh¸c</t>
  </si>
  <si>
    <t>B¶ng ®èi chiÕu biÕn ®éng cña vèn chñ së h÷u</t>
  </si>
  <si>
    <t>2.1 Kh¶ n¨ng thanh to¸n tæng qu¸t 
      (Tæng tµi s¶n/Nî ph¶i tr¶)</t>
  </si>
  <si>
    <t>2.2 Kh¶ n¨ng thanh to¸n nî ®Õn h¹n
      (Tµi s¶n ng¾n h¹n/Nî ng¾n h¹n)</t>
  </si>
  <si>
    <t>2.3 Kh¶ n¨ng thanh to¸n nhanh
      (TiÒn hiÖn cã/Nî ng¾n h¹n)</t>
  </si>
  <si>
    <t>3. Tû suÊt sinh lêi</t>
  </si>
  <si>
    <t>Sè liÖu so s¸nh</t>
  </si>
  <si>
    <t xml:space="preserve">B¸o c¸o tµi chÝnh </t>
  </si>
  <si>
    <t xml:space="preserve">      [30 = 20 + (21 - 22) - (24 + 25)]</t>
  </si>
  <si>
    <t>02</t>
  </si>
  <si>
    <t>Vèn chñ së h÷u</t>
  </si>
  <si>
    <t>9. C¸c kho¶n ph¶i tr¶, ph¶i nép ng¾n h¹n kh¸c</t>
  </si>
  <si>
    <t>KÕ to¸n tr­ëng</t>
  </si>
  <si>
    <t>10</t>
  </si>
  <si>
    <t>M· sè</t>
  </si>
  <si>
    <t>II. C¸c kho¶n ®Çu t­ tµi chÝnh ng¾n h¹n</t>
  </si>
  <si>
    <t>IV. Hµng tån kho</t>
  </si>
  <si>
    <t>3. §Çu t­ dµi h¹n kh¸c</t>
  </si>
  <si>
    <t>1. TSC§ h÷u h×nh</t>
  </si>
  <si>
    <t>01</t>
  </si>
  <si>
    <t>11</t>
  </si>
  <si>
    <t>20</t>
  </si>
  <si>
    <t>21</t>
  </si>
  <si>
    <t>22</t>
  </si>
  <si>
    <t>30</t>
  </si>
  <si>
    <t>31</t>
  </si>
  <si>
    <t>32</t>
  </si>
  <si>
    <t>40</t>
  </si>
  <si>
    <t>50</t>
  </si>
  <si>
    <t>05</t>
  </si>
  <si>
    <t>23</t>
  </si>
  <si>
    <t>24</t>
  </si>
  <si>
    <t>25</t>
  </si>
  <si>
    <t xml:space="preserve">   + Gi¶m gi¸ hµng b¸n</t>
  </si>
  <si>
    <t>06</t>
  </si>
  <si>
    <t>§¬n vÞ tÝnh: VND</t>
  </si>
  <si>
    <t>2. TSC§ thuª tµi chÝnh</t>
  </si>
  <si>
    <t>B¶ng c©n ®èi kÕ to¸n</t>
  </si>
  <si>
    <t>3. TSC§ v« h×nh</t>
  </si>
  <si>
    <t>3. ThuÕ vµ c¸c kho¶n ph¶i thu Nhµ n­íc</t>
  </si>
  <si>
    <t xml:space="preserve">B. Tµi s¶n dµi h¹n </t>
  </si>
  <si>
    <t>22. Lîi nhuËn sau thuÕ ch­a ph©n phèi</t>
  </si>
  <si>
    <t>70</t>
  </si>
  <si>
    <t>Ph¶i thu cña kh¸ch hµng</t>
  </si>
  <si>
    <t>MÉu sè B 02 - DN</t>
  </si>
  <si>
    <t>N¨m 2006</t>
  </si>
  <si>
    <t xml:space="preserve">      §¬n vÞ tÝnh: VND</t>
  </si>
  <si>
    <t>1. Doanh thu b¸n hµng vµ cung cÊp dÞch vô</t>
  </si>
  <si>
    <t xml:space="preserve">2. C¸c kho¶n gi¶m trõ doanh thu </t>
  </si>
  <si>
    <t xml:space="preserve">4. Gi¸ vèn hµng b¸n </t>
  </si>
  <si>
    <t>5. Lîi nhuËn gép b¸n hµng vµ cung cÊp dÞch vô</t>
  </si>
  <si>
    <t xml:space="preserve">    (20 = 10 - 11)</t>
  </si>
  <si>
    <t>7. Chi phÝ tµi chÝnh</t>
  </si>
  <si>
    <t>8. Chi phÝ b¸n hµng</t>
  </si>
  <si>
    <t>9. Chi phÝ qu¶n lý doanh nghiÖp</t>
  </si>
  <si>
    <t>10. Lîi nhuËn thuÇn tõ ho¹t ®éng kinh doanh</t>
  </si>
  <si>
    <t>11. Thu nhËp kh¸c</t>
  </si>
  <si>
    <t>12. Chi phÝ kh¸c</t>
  </si>
  <si>
    <t>17. Lîi nhuËn sau thuÕ thu nhËp doanh nghiÖp</t>
  </si>
  <si>
    <t xml:space="preserve">      (60 = 50 - 51 - 52)</t>
  </si>
  <si>
    <t>- TrÝch lËp quü ®Çu t­ ph¸t triÓn</t>
  </si>
  <si>
    <t>2. C¸c kho¶n t­¬ng ®­¬ng tiÒn</t>
  </si>
  <si>
    <t>1. §Çu t­ ng¾n h¹n</t>
  </si>
  <si>
    <t>III. C¸c kho¶n ph¶i thu ng¾n h¹n</t>
  </si>
  <si>
    <t>3. Ph¶i thu néi bé ng¾n h¹n</t>
  </si>
  <si>
    <t>4. ThuÕ vµ c¸c kho¶n ph¶i nép Nhµ n­íc</t>
  </si>
  <si>
    <t>- Mua trong n¨m</t>
  </si>
  <si>
    <t>- T¨ng kh¸c</t>
  </si>
  <si>
    <t>- Thanh lý, nh­îng b¸n</t>
  </si>
  <si>
    <t>- Gi¶m kh¸c</t>
  </si>
  <si>
    <t xml:space="preserve">Gi¸ trÞ cßn l¹i </t>
  </si>
  <si>
    <t>ThiÕt bÞ dông cô qu¶n lý</t>
  </si>
  <si>
    <t>6. Doanh thu ho¹t ®éng tµi chÝnh</t>
  </si>
  <si>
    <t>1. Ph¶i tr¶ dµi h¹n ng­êi b¸n</t>
  </si>
  <si>
    <t>2. Ph¶i tr¶ dµi h¹n néi bé</t>
  </si>
  <si>
    <t>3. Ph¶i tr¶ dµi h¹n kh¸c</t>
  </si>
  <si>
    <t>4. Vay vµ nî dµi h¹n</t>
  </si>
  <si>
    <t>5. ThuÕ thu nhËp ho·n l¹i ph¶i tr¶</t>
  </si>
  <si>
    <t>I. Vèn chñ së h÷u</t>
  </si>
  <si>
    <t>1. Vèn ®Çu t­ cña chñ së h÷u</t>
  </si>
  <si>
    <t>2. ThÆng d­ vèn cæ phÇn</t>
  </si>
  <si>
    <t>3. Cæ phiÕu ng©n quü</t>
  </si>
  <si>
    <t>4. Chªnh lÖch ®¸nh gi¸ l¹i tµi s¶n</t>
  </si>
  <si>
    <t>5. Chªnh lÖch tû gi¸ hèi ®o¸i</t>
  </si>
  <si>
    <t xml:space="preserve">   + ChiÕt khÊu th­¬ng m¹i</t>
  </si>
  <si>
    <t xml:space="preserve">   + Hµng b¸n bÞ tr¶ l¹i </t>
  </si>
  <si>
    <t>07</t>
  </si>
  <si>
    <t xml:space="preserve">   + ThuÕ tiªu thô ®Æc biÖt, thuÕ xuÊt khÈu</t>
  </si>
  <si>
    <t>08</t>
  </si>
  <si>
    <t xml:space="preserve">    Trong ®ã: Chi phÝ l·i vay </t>
  </si>
  <si>
    <t>51</t>
  </si>
  <si>
    <t>2.</t>
  </si>
  <si>
    <t>4. Tµi s¶n ng¾n h¹n kh¸c</t>
  </si>
  <si>
    <t>2. Dù phßng gi¶m gi¸ chøng kho¸n ®Çu t­ ng¾n h¹n</t>
  </si>
  <si>
    <t>1. Hµng tån kho</t>
  </si>
  <si>
    <t>2. Dù phßng gi¶m gi¸ hµng tån kho</t>
  </si>
  <si>
    <t>V. Tµi s¶n ng¾n h¹n kh¸c</t>
  </si>
  <si>
    <t>1. Chi phÝ tr¶ tr­íc ng¾n h¹n</t>
  </si>
  <si>
    <t>I. C¸c kho¶n ph¶i thu dµi h¹n</t>
  </si>
  <si>
    <t>1. Ph¶i thu dµi h¹n cña kh¸ch hµng</t>
  </si>
  <si>
    <t>4. Chi phÝ x©y dùng c¬ b¶n dë dang</t>
  </si>
  <si>
    <t>Tæng Gi¸m ®èc</t>
  </si>
  <si>
    <t>- §Çu t­ XDCB hoµn thµnh</t>
  </si>
  <si>
    <t>13. Lîi nhuËn kh¸c ( 40 = 31 - 32)</t>
  </si>
  <si>
    <t>16. Chi phÝ thuÕ TNDN ho·n l¹i</t>
  </si>
  <si>
    <t>52</t>
  </si>
  <si>
    <t>Nguyªn gi¸ TSC§ h÷u h×nh</t>
  </si>
  <si>
    <t>2. §Çu t­ vµo C«ng ty liªn kÕt, liªn doanh</t>
  </si>
  <si>
    <t>4. Dù phßng gi¶m gi¸ chøng kho¸n §T dµi h¹n</t>
  </si>
  <si>
    <t>Tæng céng tµi s¶n (270=100+200)</t>
  </si>
  <si>
    <t>A. Nî ph¶i tr¶ (300 = 310 + 330)</t>
  </si>
  <si>
    <t>5. Ph¶i tr¶ ng­êi lao ®éng</t>
  </si>
  <si>
    <t>8. Ph¶i tr¶ theo tiÕn ®é hîp ®ång</t>
  </si>
  <si>
    <t>18.</t>
  </si>
  <si>
    <t xml:space="preserve"> - Tµi s¶n dµi h¹n/Tæng tµi s¶n</t>
  </si>
  <si>
    <t>1.2. Bè trÝ c¬ cÊu vèn</t>
  </si>
  <si>
    <t xml:space="preserve"> - Nguån vèn chñ së h÷u/Tæng nguån vèn</t>
  </si>
  <si>
    <t>2. Kh¶ n¨ng thanh to¸n</t>
  </si>
  <si>
    <t>ngµy 30/03/2005 cña BTC</t>
  </si>
  <si>
    <t>B¶ng c©n ®èi  kÕ to¸n</t>
  </si>
  <si>
    <t>A. Tµi s¶n ng¾n h¹n</t>
  </si>
  <si>
    <t xml:space="preserve">    (100 = 110 + 120 + 130 + 140 + 150)</t>
  </si>
  <si>
    <t>1. TiÒn</t>
  </si>
  <si>
    <t xml:space="preserve">    (200 = 210 + 220 + 240 + 250 + 260)</t>
  </si>
  <si>
    <t>2. Vèn kinh doanh ë c¸c ®¬n vÞ trùc thuéc</t>
  </si>
  <si>
    <t>3. Ph¶i thu dµi h¹n néi bé</t>
  </si>
  <si>
    <t>4. Ph¶i thu dµi h¹n kh¸c</t>
  </si>
  <si>
    <t>5. Dù phßng ph¶i thu dµi h¹n khã ®ßi</t>
  </si>
  <si>
    <t xml:space="preserve">II. Tµi s¶n cè ®Þnh </t>
  </si>
  <si>
    <t>1. §Çu t­ vµo C«ng ty con</t>
  </si>
  <si>
    <t>T¨ng vèn trong n¨m tr­íc</t>
  </si>
  <si>
    <t>L·i trong n¨m tr­íc</t>
  </si>
  <si>
    <t>T¨ng kh¸c</t>
  </si>
  <si>
    <t>Gi¶m vèn trong n¨m tr­íc</t>
  </si>
  <si>
    <t>Lç trong n¨m tr­íc</t>
  </si>
  <si>
    <t>Gi¶m kh¸c</t>
  </si>
  <si>
    <t>T¨ng vèn trong n¨m nay</t>
  </si>
  <si>
    <t>L·i trong n¨m nay</t>
  </si>
  <si>
    <t>Gi¶m vèn trong n¨m nay</t>
  </si>
  <si>
    <t>Lç trong n¨m nay</t>
  </si>
  <si>
    <t>Chi tiÕt vèn ®Çu t­ cña chñ së h÷u</t>
  </si>
  <si>
    <t xml:space="preserve">B. vèn chñ së h÷u </t>
  </si>
  <si>
    <t>Th«ng tin bæ sung cho c¸c kho¶n môc tr×nh bµy trong B¶ng c©n ®èi kÕ to¸n</t>
  </si>
  <si>
    <t xml:space="preserve">b¸o c¸o tµi chÝnh </t>
  </si>
  <si>
    <t>18. L·i c¬ b¶n trªn cæ phiÕu</t>
  </si>
  <si>
    <t>19. C¸c kho¶n ®iÒu chØnh vµo lîi nhuËn sau thuÕ</t>
  </si>
  <si>
    <t>20. L·i n¨m tr­íc chuyÓn sang</t>
  </si>
  <si>
    <t>21. Ph©n phèi lîi nhuËn trong n¨m</t>
  </si>
  <si>
    <t xml:space="preserve">TiÒn </t>
  </si>
  <si>
    <t>VI.</t>
  </si>
  <si>
    <t>VII.</t>
  </si>
  <si>
    <t>Nh÷ng th«ng tin kh¸c</t>
  </si>
  <si>
    <t>b¸o c¸o kÕt qu¶ ho¹t ®éng kinh doanh</t>
  </si>
  <si>
    <t>ThuyÕt minh</t>
  </si>
  <si>
    <t xml:space="preserve">M· sè </t>
  </si>
  <si>
    <t>4. Ph¶i thu theo tiÕn ®é kÕ ho¹ch H§XD</t>
  </si>
  <si>
    <t xml:space="preserve">6. Dù phßng c¸c kho¶n ph¶i thu khã ®ßi </t>
  </si>
  <si>
    <t>2. ThuÕ GTGT ®­îc khÊu trõ</t>
  </si>
  <si>
    <t>C«ng tr×nh Nhµ m¸y Xi m¨ng Tam §iÖp</t>
  </si>
  <si>
    <t>Doanh thu b¸n hµng vµ cung cÊp dÞch vô</t>
  </si>
  <si>
    <t>III. BÊt ®éng s¶n ®Çu t­</t>
  </si>
  <si>
    <t>IV. C¸c kho¶n ®Çu t­ tµi chÝnh dµi h¹n</t>
  </si>
  <si>
    <t>V. Tµi s¶n dµi h¹n kh¸c</t>
  </si>
  <si>
    <t>1. Chi phÝ tr¶ tr­íc dµi h¹n</t>
  </si>
  <si>
    <t>2. Tµi s¶n thuÕ thu nhËp ho·n l¹i</t>
  </si>
  <si>
    <t>3. Tµi s¶n dµi h¹n kh¸c</t>
  </si>
  <si>
    <t>1. Vay vµ nî ng¾n h¹n</t>
  </si>
  <si>
    <t>2. Ph¶i tr¶ ng­êi b¸n</t>
  </si>
  <si>
    <t>3. Ng­êi mua tr¶ tiÒn tr­íc</t>
  </si>
  <si>
    <t>6. Chi phÝ ph¶i tr¶</t>
  </si>
  <si>
    <t>7. Ph¶i tr¶ néi bé</t>
  </si>
  <si>
    <t>Chi phÝ ph¶i tr¶</t>
  </si>
  <si>
    <t xml:space="preserve"> - Tµi s¶n ng¾n h¹n/Tæng tµi s¶n</t>
  </si>
  <si>
    <t>%</t>
  </si>
  <si>
    <t>- Chia cæ tøc</t>
  </si>
  <si>
    <t>Tæng céng nguån vèn (440=300+400)</t>
  </si>
  <si>
    <t xml:space="preserve">B¶n thuyÕt minh b¸o c¸o tµi chÝnh </t>
  </si>
  <si>
    <t>T¨ng gi¶m tµi s¶n cè ®Þnh h÷u h×nh</t>
  </si>
  <si>
    <t>Dông cô qu¶n lý</t>
  </si>
  <si>
    <t>ThiÕt bÞ kh¸c</t>
  </si>
  <si>
    <t>- ChuyÓn sang B§S ®Çu t­</t>
  </si>
  <si>
    <t>TSC§ h÷u h×nh kh¸c</t>
  </si>
  <si>
    <t xml:space="preserve">      (50 = 30 + 40)</t>
  </si>
  <si>
    <t xml:space="preserve">14. Tæng lîi nhuËn kÕ to¸n tr­íc thuÕ </t>
  </si>
  <si>
    <t>b¸o c¸o tµi chÝnh</t>
  </si>
  <si>
    <t>B¸o c¸o tµi chÝnh</t>
  </si>
  <si>
    <t>7. Quü ®Çu t­ ph¸t triÓn</t>
  </si>
  <si>
    <t>8. Quü dù phßng tµi chÝnh</t>
  </si>
  <si>
    <t>9. Quü kh¸c thuéc vèn chñ së h÷u</t>
  </si>
  <si>
    <t>10. Lîi nhuËn sau thuÕ ch­a ph©n phèi</t>
  </si>
  <si>
    <t>11. Nguån vèn ®Çu t­ XDCB</t>
  </si>
  <si>
    <t xml:space="preserve">Vèn ®Çu t­ </t>
  </si>
  <si>
    <t>cña chñ së h÷u</t>
  </si>
  <si>
    <t>Lîi nhuËn ch­a</t>
  </si>
  <si>
    <t>M¸y mãc</t>
  </si>
  <si>
    <t>thiÕt bÞ</t>
  </si>
  <si>
    <t>ThÆng d­</t>
  </si>
  <si>
    <t>vèn cæ phÇn</t>
  </si>
  <si>
    <t>Vèn kh¸c cña</t>
  </si>
  <si>
    <t>chñ së h÷u</t>
  </si>
  <si>
    <t>9.1</t>
  </si>
  <si>
    <t>9.2</t>
  </si>
  <si>
    <r>
      <t xml:space="preserve">Đầu tư </t>
    </r>
    <r>
      <rPr>
        <b/>
        <sz val="11"/>
        <rFont val=".VnTime"/>
        <family val="2"/>
      </rPr>
      <t>dµi h¹n kh¸c</t>
    </r>
  </si>
  <si>
    <t>Quan hệ với 
Công ty</t>
  </si>
  <si>
    <t>- Th­ëng qu¶n lý 2007</t>
  </si>
  <si>
    <t>Công cụ dụng cụ, vật tư phụ tùng phân bổ ngắn hạn</t>
  </si>
  <si>
    <t>Công cụ dụng cụ, vật tư phụ tùng phân bổ dài hạn</t>
  </si>
  <si>
    <t>- Lãi cho vay ngắn hạn</t>
  </si>
  <si>
    <t>- Lãi trả chậm phải trả</t>
  </si>
  <si>
    <t>Công ty CP Cavico Đầu tư phát triển Địa ốc</t>
  </si>
  <si>
    <t>- Vay ngắn hạn</t>
  </si>
  <si>
    <t>- Lãi vay ngắn hạn phải trả</t>
  </si>
  <si>
    <t xml:space="preserve">                  Gi¸ vèn khÊu hao</t>
  </si>
  <si>
    <t>Trong ®ã:   Gi¸ vèn l·i vay</t>
  </si>
  <si>
    <t>HOẠT ®éng kinh doanh</t>
  </si>
  <si>
    <t xml:space="preserve">Th«ng tin bæ sung cho c¸c kho¶n môc tr×nh bµy trong b¸o c¸o kÕt qu¶ </t>
  </si>
  <si>
    <t>Nhượng bán, thanh lý tài sản cố định, thu tiền phạt</t>
  </si>
  <si>
    <t>T¨ng vèn trong n¨m</t>
  </si>
  <si>
    <t>Gi¶m vèn trong n¨m</t>
  </si>
  <si>
    <t>Lç trong n¨m</t>
  </si>
  <si>
    <t xml:space="preserve"> ph©n phèi, quü TC</t>
  </si>
  <si>
    <t>- KhÊu hao trong kú</t>
  </si>
  <si>
    <t>TiÒn ®ang chuyÓn</t>
  </si>
  <si>
    <t>- Vay ngắn hạn các công ty</t>
  </si>
  <si>
    <t>- Vay ngắn hạn các cá nhân</t>
  </si>
  <si>
    <t>Chi phÝ thuÕ thu nhËp doanh nghiÖp hiÖn hµnh</t>
  </si>
  <si>
    <t>Dự phòng giảm giá hàng tồn kho</t>
  </si>
  <si>
    <t>Hàng hóa tồn kho</t>
  </si>
  <si>
    <t>Đảng phí</t>
  </si>
  <si>
    <t>Đoàn phí</t>
  </si>
  <si>
    <t>- Vay dài hạn ngân hàng Habubank</t>
  </si>
  <si>
    <t>- Vay dài hạn ngân hàng khác</t>
  </si>
  <si>
    <t>Lãi vay các công ty</t>
  </si>
  <si>
    <t xml:space="preserve">                    KÕ to¸n tr­ëng</t>
  </si>
  <si>
    <t>Lãi vay phải trả các cá nhân</t>
  </si>
  <si>
    <t>Vay dài hạn ngân hàng</t>
  </si>
  <si>
    <t>Céng thuÕ vµ c¸c kho¶n ph¶i nép Nhµ n­íc</t>
  </si>
  <si>
    <t>Công ty Cavico VN</t>
  </si>
  <si>
    <t>Phí bảo lãnh hợp đồng</t>
  </si>
  <si>
    <t>Lỗ do bán cổ phiếu</t>
  </si>
  <si>
    <t>Công ty CP XD Công trình Ngầm (Vinavico)</t>
  </si>
  <si>
    <t>Doanh thu dự án Đăksin</t>
  </si>
  <si>
    <t>Giá vốn dự án Đăksin</t>
  </si>
  <si>
    <t>Sè d­ ngµy 01/01/2010</t>
  </si>
  <si>
    <t>- Sè d­ ngµy 01/01/2010</t>
  </si>
  <si>
    <t>- T¹i ngµy 01/01/2010</t>
  </si>
  <si>
    <t>+ Habubank</t>
  </si>
  <si>
    <t>+ VietNgabank</t>
  </si>
  <si>
    <t>Trả trước cho người bán</t>
  </si>
  <si>
    <t>Công ty Cổ phần Cavico giao thông</t>
  </si>
  <si>
    <t>Các khoản phải trả khách hàng</t>
  </si>
  <si>
    <t>5. Dù phßng trî cÊp mÊt viÖc lµm</t>
  </si>
  <si>
    <t>Trần Thanh Diệu</t>
  </si>
  <si>
    <t>Nguyễn Sỹ Tuấn</t>
  </si>
  <si>
    <t>Tel: (84 4) 3 7 684 111                             Fax: (84 4) 3 7 684 644</t>
  </si>
  <si>
    <t>30/06/2010</t>
  </si>
  <si>
    <t>Tel: 04 3 7684111 Fax: 04 3 768 4644</t>
  </si>
  <si>
    <t>- Sè d­ ngµy 30/06/2010</t>
  </si>
  <si>
    <t>- T¹i ngµy 30/06/2010</t>
  </si>
  <si>
    <t>Sè d­ ngµy 30/06/2010</t>
  </si>
  <si>
    <t>N¨m 2009</t>
  </si>
  <si>
    <t>CCDC tồn kho</t>
  </si>
  <si>
    <t>Công ty Cổ phần Cavico Hạ tầng</t>
  </si>
  <si>
    <t>Các giao dịch về vốn và phân phối cổ tức, chia lợi nhuận</t>
  </si>
  <si>
    <t>Hµ Néi, ngµy 15 th¸ng 07 n¨m 2010</t>
  </si>
  <si>
    <t>Tõ 01/01/2010 ®Õn 30/06/2010</t>
  </si>
  <si>
    <t>06 th¸ng ®Çu 2010</t>
  </si>
  <si>
    <t>06 th¸ng ®Çu 2009</t>
  </si>
  <si>
    <t>31/12/2009</t>
  </si>
  <si>
    <t>Từ 01/01/2010 đến 30/06/2010</t>
  </si>
  <si>
    <t>10. Quü khen th­ëng, phóc lîi</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</si>
</sst>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mm/&quot;d&quot;&quot;d&quot;/yy"/>
    <numFmt numFmtId="167" formatCode="0.00000000"/>
    <numFmt numFmtId="168" formatCode="0.0000000"/>
    <numFmt numFmtId="169" formatCode="&quot;\&quot;#,##0;[Red]&quot;\&quot;\-#,##0"/>
    <numFmt numFmtId="170" formatCode="&quot;\&quot;#,##0.00;[Red]&quot;\&quot;\-#,##0.00"/>
    <numFmt numFmtId="171" formatCode="_(* #,##0.0_);_(* \(#,##0.0\);_(* &quot;-&quot;??_);_(@_)"/>
    <numFmt numFmtId="172" formatCode="#,##0;[Red]\(#,##0\);\-"/>
    <numFmt numFmtId="173" formatCode="_(* #,##0.000_);_(* \(#,##0.000\);_(* &quot;-&quot;??_);_(@_)"/>
    <numFmt numFmtId="174" formatCode="_(* #,##0.0000_);_(* \(#,##0.0000\);_(* &quot;-&quot;??_);_(@_)"/>
    <numFmt numFmtId="175" formatCode="_(* #,##0.00000_);_(* \(#,##0.00000\);_(* &quot;-&quot;??_);_(@_)"/>
    <numFmt numFmtId="176" formatCode="_(* #,##0.000000_);_(* \(#,##0.000000\);_(* &quot;-&quot;??_);_(@_)"/>
    <numFmt numFmtId="177" formatCode="#,##0.0"/>
    <numFmt numFmtId="178" formatCode="#,##0.000"/>
    <numFmt numFmtId="179" formatCode="#,##0.0000"/>
    <numFmt numFmtId="180" formatCode="#,##0.00000"/>
    <numFmt numFmtId="181" formatCode="#,##0.000000"/>
    <numFmt numFmtId="182" formatCode="_(* #,##0.00_);_(* \(#,##0.00\);_(* &quot;-&quot;_);_(@_)"/>
    <numFmt numFmtId="183" formatCode="[$-409]dddd\,\ mmmm\ dd\,\ yyyy"/>
  </numFmts>
  <fonts count="61">
    <font>
      <sz val="12"/>
      <name val=".VnTime"/>
      <family val="0"/>
    </font>
    <font>
      <sz val="11"/>
      <name val=".VnTime"/>
      <family val="0"/>
    </font>
    <font>
      <i/>
      <sz val="11"/>
      <name val=".VnTime"/>
      <family val="2"/>
    </font>
    <font>
      <b/>
      <sz val="11"/>
      <name val=".VnTime"/>
      <family val="2"/>
    </font>
    <font>
      <b/>
      <sz val="11"/>
      <name val=".VnTimeH"/>
      <family val="2"/>
    </font>
    <font>
      <i/>
      <sz val="10"/>
      <name val=".VnTime"/>
      <family val="2"/>
    </font>
    <font>
      <b/>
      <sz val="10"/>
      <name val=".VnTimeH"/>
      <family val="2"/>
    </font>
    <font>
      <sz val="10"/>
      <name val=".VnTime"/>
      <family val="2"/>
    </font>
    <font>
      <b/>
      <sz val="12"/>
      <name val=".VnTime"/>
      <family val="2"/>
    </font>
    <font>
      <i/>
      <sz val="12"/>
      <name val=".VnTime"/>
      <family val="2"/>
    </font>
    <font>
      <sz val="10"/>
      <name val="Arial"/>
      <family val="2"/>
    </font>
    <font>
      <u val="single"/>
      <sz val="12"/>
      <color indexed="36"/>
      <name val="Times New Roman"/>
      <family val="1"/>
    </font>
    <font>
      <b/>
      <sz val="12"/>
      <name val="Arial"/>
      <family val="2"/>
    </font>
    <font>
      <u val="single"/>
      <sz val="12"/>
      <color indexed="12"/>
      <name val="Times New Roman"/>
      <family val="1"/>
    </font>
    <font>
      <b/>
      <i/>
      <sz val="11"/>
      <name val=".Vntime"/>
      <family val="2"/>
    </font>
    <font>
      <b/>
      <i/>
      <sz val="12"/>
      <name val=".VnTime"/>
      <family val="2"/>
    </font>
    <font>
      <b/>
      <sz val="12"/>
      <name val=".VnTimeH"/>
      <family val="2"/>
    </font>
    <font>
      <sz val="11"/>
      <color indexed="8"/>
      <name val=".VnTime"/>
      <family val="2"/>
    </font>
    <font>
      <b/>
      <sz val="10"/>
      <name val=".VnTime"/>
      <family val="2"/>
    </font>
    <font>
      <sz val="10"/>
      <name val=".vntime"/>
      <family val="0"/>
    </font>
    <font>
      <b/>
      <sz val="18"/>
      <name val="Arial"/>
      <family val="2"/>
    </font>
    <font>
      <sz val="14"/>
      <name val="뼻뮝"/>
      <family val="3"/>
    </font>
    <font>
      <sz val="12"/>
      <name val="뼻뮝"/>
      <family val="1"/>
    </font>
    <font>
      <sz val="12"/>
      <name val="바탕체"/>
      <family val="1"/>
    </font>
    <font>
      <sz val="10"/>
      <name val="굴림체"/>
      <family val="3"/>
    </font>
    <font>
      <b/>
      <sz val="11"/>
      <color indexed="8"/>
      <name val=".VnTime"/>
      <family val="2"/>
    </font>
    <font>
      <sz val="11"/>
      <color indexed="10"/>
      <name val=".VnTime"/>
      <family val="2"/>
    </font>
    <font>
      <b/>
      <i/>
      <sz val="11"/>
      <name val=".VnTimeH"/>
      <family val="2"/>
    </font>
    <font>
      <sz val="11"/>
      <name val=".VnTimeH"/>
      <family val="2"/>
    </font>
    <font>
      <sz val="12"/>
      <name val=".VnTimeH"/>
      <family val="2"/>
    </font>
    <font>
      <b/>
      <sz val="11"/>
      <color indexed="10"/>
      <name val=".VnTime"/>
      <family val="2"/>
    </font>
    <font>
      <sz val="12"/>
      <color indexed="10"/>
      <name val=".VnTime"/>
      <family val="2"/>
    </font>
    <font>
      <b/>
      <i/>
      <sz val="11"/>
      <color indexed="10"/>
      <name val=".VnTime"/>
      <family val="2"/>
    </font>
    <font>
      <b/>
      <i/>
      <sz val="11"/>
      <color indexed="8"/>
      <name val=".VnTime"/>
      <family val="2"/>
    </font>
    <font>
      <i/>
      <sz val="11"/>
      <color indexed="8"/>
      <name val=".VnTime"/>
      <family val="2"/>
    </font>
    <font>
      <sz val="10"/>
      <name val=".VnTimeH"/>
      <family val="2"/>
    </font>
    <font>
      <sz val="11"/>
      <name val="Arial"/>
      <family val="0"/>
    </font>
    <font>
      <b/>
      <i/>
      <sz val="10"/>
      <name val=".VnTime"/>
      <family val="2"/>
    </font>
    <font>
      <sz val="8"/>
      <name val=".VnTime"/>
      <family val="0"/>
    </font>
    <font>
      <b/>
      <sz val="10"/>
      <name val="Times New Roman"/>
      <family val="1"/>
    </font>
    <font>
      <sz val="12"/>
      <name val="Times New Roman"/>
      <family val="1"/>
    </font>
    <font>
      <sz val="10"/>
      <name val="Times New Roman"/>
      <family val="1"/>
    </font>
    <font>
      <i/>
      <sz val="10"/>
      <name val="Times New Roman"/>
      <family val="1"/>
    </font>
    <font>
      <i/>
      <sz val="11"/>
      <name val="Times New Roman"/>
      <family val="1"/>
    </font>
    <font>
      <b/>
      <sz val="11"/>
      <name val="Times New Roman"/>
      <family val="1"/>
    </font>
    <font>
      <sz val="11"/>
      <name val="Times New Roman"/>
      <family val="1"/>
    </font>
    <font>
      <b/>
      <sz val="10"/>
      <name val="Times New RomanH"/>
      <family val="0"/>
    </font>
    <font>
      <b/>
      <sz val="12"/>
      <name val="Times New Roman"/>
      <family val="1"/>
    </font>
    <font>
      <b/>
      <i/>
      <sz val="11"/>
      <name val="Times New Roman"/>
      <family val="1"/>
    </font>
    <font>
      <sz val="11"/>
      <color indexed="10"/>
      <name val="Times New Roman"/>
      <family val="1"/>
    </font>
    <font>
      <b/>
      <sz val="11"/>
      <color indexed="8"/>
      <name val="Times New Roman"/>
      <family val="1"/>
    </font>
    <font>
      <sz val="11"/>
      <color indexed="8"/>
      <name val="Times New Roman"/>
      <family val="1"/>
    </font>
    <font>
      <i/>
      <sz val="11"/>
      <color indexed="8"/>
      <name val="Times New Roman"/>
      <family val="1"/>
    </font>
    <font>
      <b/>
      <sz val="10"/>
      <color indexed="10"/>
      <name val=".VnTimeH"/>
      <family val="2"/>
    </font>
    <font>
      <b/>
      <sz val="12"/>
      <color indexed="10"/>
      <name val=".VnTimeH"/>
      <family val="2"/>
    </font>
    <font>
      <sz val="11"/>
      <color indexed="10"/>
      <name val="Arial"/>
      <family val="0"/>
    </font>
    <font>
      <sz val="12"/>
      <color indexed="8"/>
      <name val=".VnTime"/>
      <family val="2"/>
    </font>
    <font>
      <b/>
      <sz val="11"/>
      <color indexed="8"/>
      <name val=".VnTimeH"/>
      <family val="2"/>
    </font>
    <font>
      <i/>
      <sz val="12"/>
      <color indexed="8"/>
      <name val=".VnTime"/>
      <family val="2"/>
    </font>
    <font>
      <sz val="10"/>
      <name val=".VnArial"/>
      <family val="2"/>
    </font>
    <font>
      <b/>
      <sz val="14"/>
      <name val=".VnTimeH"/>
      <family val="2"/>
    </font>
  </fonts>
  <fills count="3">
    <fill>
      <patternFill/>
    </fill>
    <fill>
      <patternFill patternType="gray125"/>
    </fill>
    <fill>
      <patternFill patternType="solid">
        <fgColor indexed="13"/>
        <bgColor indexed="64"/>
      </patternFill>
    </fill>
  </fills>
  <borders count="1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12" fillId="0" borderId="1" applyNumberFormat="0" applyAlignment="0" applyProtection="0"/>
    <xf numFmtId="0" fontId="12" fillId="0" borderId="2">
      <alignment horizontal="left" vertical="center"/>
      <protection/>
    </xf>
    <xf numFmtId="0" fontId="2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0" fillId="0" borderId="3" applyNumberFormat="0" applyFont="0" applyFill="0" applyAlignment="0" applyProtection="0"/>
    <xf numFmtId="4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0" fontId="10" fillId="0" borderId="0" applyFont="0" applyFill="0" applyBorder="0" applyAlignment="0" applyProtection="0"/>
    <xf numFmtId="0" fontId="22" fillId="0" borderId="0">
      <alignment/>
      <protection/>
    </xf>
    <xf numFmtId="168" fontId="10" fillId="0" borderId="0" applyFont="0" applyFill="0" applyBorder="0" applyAlignment="0" applyProtection="0"/>
    <xf numFmtId="167" fontId="10" fillId="0" borderId="0" applyFont="0" applyFill="0" applyBorder="0" applyAlignment="0" applyProtection="0"/>
    <xf numFmtId="170" fontId="23" fillId="0" borderId="0" applyFont="0" applyFill="0" applyBorder="0" applyAlignment="0" applyProtection="0"/>
    <xf numFmtId="169" fontId="23" fillId="0" borderId="0" applyFont="0" applyFill="0" applyBorder="0" applyAlignment="0" applyProtection="0"/>
    <xf numFmtId="0" fontId="24" fillId="0" borderId="0">
      <alignment/>
      <protection/>
    </xf>
    <xf numFmtId="0" fontId="10" fillId="0" borderId="0">
      <alignment/>
      <protection/>
    </xf>
  </cellStyleXfs>
  <cellXfs count="64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165" fontId="3" fillId="0" borderId="0" xfId="16" applyNumberFormat="1" applyFont="1" applyAlignment="1">
      <alignment/>
    </xf>
    <xf numFmtId="165" fontId="1" fillId="0" borderId="0" xfId="16" applyNumberFormat="1" applyFont="1" applyAlignment="1">
      <alignment/>
    </xf>
    <xf numFmtId="0" fontId="4" fillId="0" borderId="0" xfId="0" applyFont="1" applyAlignment="1">
      <alignment horizontal="left"/>
    </xf>
    <xf numFmtId="165" fontId="1" fillId="0" borderId="0" xfId="16" applyNumberFormat="1" applyFont="1" applyBorder="1" applyAlignment="1">
      <alignment horizontal="right"/>
    </xf>
    <xf numFmtId="0" fontId="3" fillId="0" borderId="0" xfId="0" applyFont="1" applyBorder="1" applyAlignment="1">
      <alignment wrapText="1"/>
    </xf>
    <xf numFmtId="165" fontId="3" fillId="0" borderId="0" xfId="16" applyNumberFormat="1" applyFont="1" applyBorder="1" applyAlignment="1">
      <alignment horizontal="right"/>
    </xf>
    <xf numFmtId="0" fontId="1" fillId="0" borderId="0" xfId="0" applyFont="1" applyBorder="1" applyAlignment="1">
      <alignment wrapText="1"/>
    </xf>
    <xf numFmtId="0" fontId="1" fillId="0" borderId="0" xfId="0" applyFont="1" applyBorder="1" applyAlignment="1">
      <alignment horizontal="right"/>
    </xf>
    <xf numFmtId="0" fontId="3" fillId="0" borderId="0" xfId="0" applyFont="1" applyBorder="1" applyAlignment="1">
      <alignment horizontal="left" wrapText="1"/>
    </xf>
    <xf numFmtId="0" fontId="1"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Border="1" applyAlignment="1">
      <alignment horizontal="right" vertical="center"/>
    </xf>
    <xf numFmtId="165" fontId="1" fillId="0" borderId="0" xfId="0" applyNumberFormat="1" applyFont="1" applyAlignment="1">
      <alignment/>
    </xf>
    <xf numFmtId="0" fontId="0" fillId="0" borderId="0" xfId="0" applyFont="1" applyBorder="1" applyAlignment="1">
      <alignment/>
    </xf>
    <xf numFmtId="0" fontId="6" fillId="0" borderId="0" xfId="0" applyFont="1" applyAlignment="1">
      <alignment/>
    </xf>
    <xf numFmtId="0" fontId="0" fillId="0" borderId="0" xfId="0" applyFont="1" applyAlignment="1">
      <alignment/>
    </xf>
    <xf numFmtId="0" fontId="1" fillId="0" borderId="0" xfId="0" applyFont="1" applyAlignment="1">
      <alignment/>
    </xf>
    <xf numFmtId="43" fontId="1" fillId="0" borderId="0" xfId="16" applyFont="1" applyBorder="1" applyAlignment="1">
      <alignment horizontal="right"/>
    </xf>
    <xf numFmtId="43" fontId="1" fillId="0" borderId="0" xfId="16" applyFont="1" applyAlignment="1">
      <alignment/>
    </xf>
    <xf numFmtId="0" fontId="8" fillId="0" borderId="0" xfId="0" applyFont="1" applyAlignment="1">
      <alignment/>
    </xf>
    <xf numFmtId="43" fontId="1" fillId="0" borderId="0" xfId="16" applyFont="1" applyBorder="1" applyAlignment="1">
      <alignment horizontal="left" vertical="center"/>
    </xf>
    <xf numFmtId="43" fontId="3" fillId="0" borderId="0" xfId="16" applyFont="1" applyBorder="1" applyAlignment="1">
      <alignment horizontal="right"/>
    </xf>
    <xf numFmtId="43" fontId="3" fillId="0" borderId="0" xfId="16" applyNumberFormat="1" applyFont="1" applyBorder="1" applyAlignment="1">
      <alignment horizontal="right"/>
    </xf>
    <xf numFmtId="0" fontId="5" fillId="0" borderId="0" xfId="0" applyFont="1" applyAlignment="1">
      <alignment horizontal="right"/>
    </xf>
    <xf numFmtId="43" fontId="1" fillId="0" borderId="0" xfId="16" applyFont="1" applyAlignment="1">
      <alignment horizontal="right"/>
    </xf>
    <xf numFmtId="0" fontId="1" fillId="0" borderId="4" xfId="0" applyFont="1" applyBorder="1" applyAlignment="1">
      <alignment/>
    </xf>
    <xf numFmtId="0" fontId="1" fillId="0" borderId="0" xfId="0" applyFont="1" applyBorder="1" applyAlignment="1">
      <alignment/>
    </xf>
    <xf numFmtId="0" fontId="1" fillId="0" borderId="4" xfId="0" applyFont="1" applyBorder="1" applyAlignment="1">
      <alignment/>
    </xf>
    <xf numFmtId="0" fontId="7" fillId="0" borderId="0" xfId="0" applyFont="1" applyBorder="1" applyAlignment="1">
      <alignment/>
    </xf>
    <xf numFmtId="0" fontId="10" fillId="0" borderId="0" xfId="15">
      <alignment/>
      <protection/>
    </xf>
    <xf numFmtId="0" fontId="7" fillId="0" borderId="0" xfId="0" applyFont="1" applyAlignment="1">
      <alignment horizontal="right"/>
    </xf>
    <xf numFmtId="165" fontId="1" fillId="0" borderId="0" xfId="16" applyNumberFormat="1" applyFont="1" applyBorder="1" applyAlignment="1">
      <alignment horizontal="left" vertical="center"/>
    </xf>
    <xf numFmtId="165" fontId="1" fillId="0" borderId="0" xfId="16" applyNumberFormat="1" applyFont="1" applyBorder="1" applyAlignment="1">
      <alignment horizontal="right"/>
    </xf>
    <xf numFmtId="0" fontId="1" fillId="0" borderId="0" xfId="0" applyFont="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14" fillId="0" borderId="0" xfId="0" applyFont="1" applyBorder="1" applyAlignment="1">
      <alignment horizontal="center"/>
    </xf>
    <xf numFmtId="165" fontId="14" fillId="0" borderId="0" xfId="16" applyNumberFormat="1" applyFont="1" applyBorder="1" applyAlignment="1">
      <alignment horizontal="right"/>
    </xf>
    <xf numFmtId="43" fontId="14" fillId="0" borderId="0" xfId="16" applyFont="1" applyBorder="1" applyAlignment="1">
      <alignment horizontal="right"/>
    </xf>
    <xf numFmtId="0" fontId="2" fillId="0" borderId="0" xfId="0" applyFont="1" applyBorder="1" applyAlignment="1">
      <alignment horizontal="right"/>
    </xf>
    <xf numFmtId="165" fontId="1" fillId="0" borderId="0" xfId="0" applyNumberFormat="1" applyFont="1" applyAlignment="1">
      <alignment/>
    </xf>
    <xf numFmtId="165" fontId="1" fillId="0" borderId="0" xfId="16" applyNumberFormat="1" applyFont="1" applyAlignment="1">
      <alignment horizontal="right"/>
    </xf>
    <xf numFmtId="165" fontId="1" fillId="0" borderId="0" xfId="16" applyNumberFormat="1" applyFont="1" applyAlignment="1">
      <alignment horizontal="right"/>
    </xf>
    <xf numFmtId="165" fontId="3" fillId="0" borderId="5" xfId="16" applyNumberFormat="1" applyFont="1" applyBorder="1" applyAlignment="1">
      <alignment/>
    </xf>
    <xf numFmtId="0" fontId="1" fillId="0" borderId="0" xfId="0" applyFont="1" applyBorder="1" applyAlignment="1" quotePrefix="1">
      <alignment wrapText="1"/>
    </xf>
    <xf numFmtId="0" fontId="1" fillId="0" borderId="0" xfId="0" applyNumberFormat="1" applyFont="1" applyAlignment="1">
      <alignment horizontal="center"/>
    </xf>
    <xf numFmtId="165" fontId="1" fillId="0" borderId="0" xfId="16" applyNumberFormat="1" applyFont="1" applyAlignment="1">
      <alignment/>
    </xf>
    <xf numFmtId="0" fontId="0" fillId="0" borderId="0" xfId="0" applyAlignment="1" applyProtection="1">
      <alignment/>
      <protection hidden="1"/>
    </xf>
    <xf numFmtId="0" fontId="7" fillId="0" borderId="0" xfId="0" applyFont="1" applyBorder="1" applyAlignment="1">
      <alignment horizontal="center"/>
    </xf>
    <xf numFmtId="49" fontId="3" fillId="0" borderId="0" xfId="0" applyNumberFormat="1" applyFont="1" applyBorder="1" applyAlignment="1">
      <alignment horizontal="center" wrapText="1"/>
    </xf>
    <xf numFmtId="49" fontId="3" fillId="0" borderId="0" xfId="0" applyNumberFormat="1" applyFont="1" applyAlignment="1">
      <alignment horizontal="center"/>
    </xf>
    <xf numFmtId="49" fontId="1" fillId="0" borderId="0" xfId="0" applyNumberFormat="1" applyFont="1" applyBorder="1" applyAlignment="1">
      <alignment horizontal="center" wrapText="1"/>
    </xf>
    <xf numFmtId="165" fontId="1" fillId="0" borderId="0" xfId="16" applyNumberFormat="1" applyFont="1" applyBorder="1" applyAlignment="1">
      <alignment/>
    </xf>
    <xf numFmtId="0" fontId="3" fillId="0" borderId="0" xfId="0" applyFont="1" applyBorder="1" applyAlignment="1">
      <alignment/>
    </xf>
    <xf numFmtId="0" fontId="0" fillId="0" borderId="0" xfId="0" applyAlignment="1" applyProtection="1">
      <alignment/>
      <protection locked="0"/>
    </xf>
    <xf numFmtId="0" fontId="2" fillId="0" borderId="0" xfId="0" applyFont="1" applyBorder="1" applyAlignment="1">
      <alignment horizontal="left" wrapText="1"/>
    </xf>
    <xf numFmtId="165" fontId="2" fillId="0" borderId="0" xfId="16" applyNumberFormat="1" applyFont="1" applyBorder="1" applyAlignment="1">
      <alignment horizontal="right"/>
    </xf>
    <xf numFmtId="43" fontId="1" fillId="0" borderId="0" xfId="16" applyFont="1" applyAlignment="1">
      <alignment/>
    </xf>
    <xf numFmtId="0" fontId="5" fillId="0" borderId="0" xfId="0" applyFont="1" applyBorder="1" applyAlignment="1">
      <alignment horizontal="right"/>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horizontal="right"/>
    </xf>
    <xf numFmtId="43" fontId="1" fillId="0" borderId="0" xfId="16" applyFont="1" applyAlignment="1">
      <alignment horizontal="right"/>
    </xf>
    <xf numFmtId="49" fontId="1" fillId="0" borderId="0" xfId="0" applyNumberFormat="1" applyFont="1" applyAlignment="1">
      <alignment horizontal="center"/>
    </xf>
    <xf numFmtId="0" fontId="3" fillId="0" borderId="0" xfId="0" applyFont="1" applyBorder="1" applyAlignment="1">
      <alignment horizontal="right"/>
    </xf>
    <xf numFmtId="0" fontId="10" fillId="0" borderId="0" xfId="47">
      <alignment/>
      <protection/>
    </xf>
    <xf numFmtId="49" fontId="2" fillId="0" borderId="0" xfId="0" applyNumberFormat="1" applyFont="1" applyBorder="1" applyAlignment="1">
      <alignment horizontal="center" wrapText="1"/>
    </xf>
    <xf numFmtId="0" fontId="2" fillId="0" borderId="0" xfId="0" applyFont="1" applyBorder="1" applyAlignment="1">
      <alignment horizontal="center"/>
    </xf>
    <xf numFmtId="43" fontId="2" fillId="0" borderId="0" xfId="16" applyFont="1" applyBorder="1" applyAlignment="1">
      <alignment horizontal="right"/>
    </xf>
    <xf numFmtId="43" fontId="3" fillId="0" borderId="0" xfId="0" applyNumberFormat="1" applyFont="1" applyAlignment="1">
      <alignment/>
    </xf>
    <xf numFmtId="165" fontId="25" fillId="0" borderId="0" xfId="16" applyNumberFormat="1" applyFont="1" applyBorder="1" applyAlignment="1">
      <alignment/>
    </xf>
    <xf numFmtId="4" fontId="1" fillId="0" borderId="0" xfId="0" applyNumberFormat="1" applyFont="1" applyAlignment="1">
      <alignment/>
    </xf>
    <xf numFmtId="0" fontId="6" fillId="0" borderId="0" xfId="0" applyFont="1" applyBorder="1" applyAlignment="1">
      <alignment/>
    </xf>
    <xf numFmtId="0" fontId="6" fillId="0" borderId="0" xfId="0" applyFont="1" applyAlignment="1">
      <alignment horizontal="right"/>
    </xf>
    <xf numFmtId="0" fontId="3" fillId="0" borderId="4" xfId="0" applyFont="1" applyBorder="1" applyAlignment="1">
      <alignment horizontal="center" vertical="center" wrapText="1"/>
    </xf>
    <xf numFmtId="0" fontId="3" fillId="0" borderId="0" xfId="0" applyFont="1" applyAlignment="1">
      <alignment/>
    </xf>
    <xf numFmtId="165" fontId="1" fillId="0" borderId="0" xfId="16" applyNumberFormat="1" applyFont="1" applyAlignment="1">
      <alignment/>
    </xf>
    <xf numFmtId="165" fontId="1" fillId="0" borderId="0" xfId="16" applyNumberFormat="1" applyFont="1" applyFill="1" applyAlignment="1">
      <alignment/>
    </xf>
    <xf numFmtId="0" fontId="1" fillId="0" borderId="0" xfId="0" applyFont="1" applyAlignment="1">
      <alignment/>
    </xf>
    <xf numFmtId="4" fontId="2" fillId="0" borderId="0" xfId="0" applyNumberFormat="1" applyFont="1" applyAlignment="1">
      <alignment/>
    </xf>
    <xf numFmtId="4" fontId="1" fillId="0" borderId="0" xfId="0" applyNumberFormat="1" applyFont="1" applyBorder="1" applyAlignment="1">
      <alignment/>
    </xf>
    <xf numFmtId="165" fontId="17" fillId="0" borderId="0" xfId="16" applyNumberFormat="1" applyFont="1" applyBorder="1" applyAlignment="1">
      <alignment/>
    </xf>
    <xf numFmtId="4" fontId="1" fillId="0" borderId="0" xfId="0" applyNumberFormat="1" applyFont="1" applyAlignment="1">
      <alignment/>
    </xf>
    <xf numFmtId="0" fontId="4" fillId="0" borderId="0" xfId="0" applyFont="1" applyAlignment="1">
      <alignment horizontal="right"/>
    </xf>
    <xf numFmtId="0" fontId="3" fillId="0" borderId="0" xfId="0" applyFont="1" applyBorder="1" applyAlignment="1">
      <alignment/>
    </xf>
    <xf numFmtId="0" fontId="1" fillId="0" borderId="0" xfId="0" applyFont="1" applyBorder="1" applyAlignment="1">
      <alignment/>
    </xf>
    <xf numFmtId="165" fontId="3" fillId="0" borderId="0" xfId="0" applyNumberFormat="1" applyFont="1" applyBorder="1" applyAlignment="1">
      <alignment/>
    </xf>
    <xf numFmtId="0" fontId="1" fillId="0" borderId="0" xfId="0" applyFont="1" applyAlignment="1">
      <alignment horizontal="right"/>
    </xf>
    <xf numFmtId="0" fontId="3" fillId="0" borderId="0" xfId="0" applyFont="1" applyFill="1" applyBorder="1" applyAlignment="1">
      <alignment horizontal="right"/>
    </xf>
    <xf numFmtId="0" fontId="3" fillId="0" borderId="0" xfId="0" applyFont="1" applyBorder="1" applyAlignment="1">
      <alignment horizontal="center" vertical="center" wrapText="1"/>
    </xf>
    <xf numFmtId="0" fontId="16" fillId="0" borderId="0" xfId="0" applyFont="1" applyAlignment="1">
      <alignment horizontal="centerContinuous"/>
    </xf>
    <xf numFmtId="0" fontId="4" fillId="0" borderId="0" xfId="0" applyFont="1" applyAlignment="1">
      <alignment/>
    </xf>
    <xf numFmtId="0" fontId="14" fillId="0" borderId="0" xfId="0" applyFont="1" applyAlignment="1">
      <alignment horizontal="centerContinuous"/>
    </xf>
    <xf numFmtId="0" fontId="6" fillId="0" borderId="0" xfId="0" applyFont="1" applyBorder="1" applyAlignment="1">
      <alignment horizontal="right"/>
    </xf>
    <xf numFmtId="0" fontId="2" fillId="0" borderId="0" xfId="0" applyFont="1" applyAlignment="1">
      <alignment horizontal="centerContinuous"/>
    </xf>
    <xf numFmtId="0" fontId="0" fillId="0" borderId="0" xfId="0" applyBorder="1" applyAlignment="1">
      <alignment/>
    </xf>
    <xf numFmtId="0" fontId="7" fillId="0" borderId="4" xfId="0" applyFont="1" applyBorder="1" applyAlignment="1">
      <alignment/>
    </xf>
    <xf numFmtId="0" fontId="26" fillId="0" borderId="0" xfId="0" applyFont="1" applyBorder="1" applyAlignment="1">
      <alignment/>
    </xf>
    <xf numFmtId="165" fontId="26" fillId="0" borderId="0" xfId="16" applyNumberFormat="1" applyFont="1" applyBorder="1" applyAlignment="1">
      <alignment/>
    </xf>
    <xf numFmtId="0" fontId="30" fillId="0" borderId="0" xfId="0" applyFont="1" applyBorder="1" applyAlignment="1">
      <alignment/>
    </xf>
    <xf numFmtId="0" fontId="30" fillId="0" borderId="0" xfId="0" applyFont="1" applyBorder="1" applyAlignment="1">
      <alignment horizontal="center"/>
    </xf>
    <xf numFmtId="0" fontId="30" fillId="0" borderId="0" xfId="0" applyFont="1" applyBorder="1" applyAlignment="1">
      <alignment horizontal="right"/>
    </xf>
    <xf numFmtId="165" fontId="30" fillId="0" borderId="0" xfId="0" applyNumberFormat="1" applyFont="1" applyBorder="1" applyAlignment="1">
      <alignment horizontal="right"/>
    </xf>
    <xf numFmtId="165" fontId="26" fillId="0" borderId="0" xfId="18" applyNumberFormat="1" applyFont="1" applyBorder="1" applyAlignment="1">
      <alignment horizontal="right"/>
    </xf>
    <xf numFmtId="0" fontId="26" fillId="0" borderId="0" xfId="0" applyFont="1" applyBorder="1" applyAlignment="1">
      <alignment horizontal="center"/>
    </xf>
    <xf numFmtId="14" fontId="30" fillId="0" borderId="0" xfId="0" applyNumberFormat="1" applyFont="1" applyBorder="1" applyAlignment="1">
      <alignment horizontal="right"/>
    </xf>
    <xf numFmtId="165" fontId="26" fillId="0" borderId="0" xfId="0" applyNumberFormat="1" applyFont="1" applyBorder="1" applyAlignment="1">
      <alignment/>
    </xf>
    <xf numFmtId="165" fontId="30" fillId="0" borderId="0" xfId="0" applyNumberFormat="1" applyFont="1" applyBorder="1" applyAlignment="1">
      <alignment/>
    </xf>
    <xf numFmtId="14" fontId="26" fillId="0" borderId="0" xfId="0" applyNumberFormat="1" applyFont="1" applyBorder="1" applyAlignment="1">
      <alignment horizontal="right"/>
    </xf>
    <xf numFmtId="0" fontId="26" fillId="0" borderId="0" xfId="0" applyFont="1" applyBorder="1" applyAlignment="1">
      <alignment horizontal="left"/>
    </xf>
    <xf numFmtId="165" fontId="30" fillId="0" borderId="0" xfId="16" applyNumberFormat="1" applyFont="1" applyBorder="1" applyAlignment="1">
      <alignment horizontal="right"/>
    </xf>
    <xf numFmtId="0" fontId="30" fillId="0" borderId="0" xfId="0" applyFont="1" applyBorder="1" applyAlignment="1">
      <alignment horizontal="left"/>
    </xf>
    <xf numFmtId="0" fontId="31" fillId="0" borderId="0" xfId="0" applyFont="1" applyBorder="1" applyAlignment="1">
      <alignment horizontal="center"/>
    </xf>
    <xf numFmtId="0" fontId="31" fillId="0" borderId="0" xfId="0" applyFont="1" applyBorder="1" applyAlignment="1">
      <alignment horizontal="left"/>
    </xf>
    <xf numFmtId="10" fontId="26" fillId="0" borderId="0" xfId="34" applyNumberFormat="1" applyFont="1" applyBorder="1" applyAlignment="1">
      <alignment horizontal="center"/>
    </xf>
    <xf numFmtId="0" fontId="31" fillId="0" borderId="0" xfId="0" applyFont="1" applyBorder="1" applyAlignment="1">
      <alignment horizontal="center"/>
    </xf>
    <xf numFmtId="2" fontId="26" fillId="0" borderId="0" xfId="0" applyNumberFormat="1" applyFont="1" applyBorder="1" applyAlignment="1">
      <alignment horizontal="center"/>
    </xf>
    <xf numFmtId="165" fontId="3" fillId="0" borderId="0" xfId="0" applyNumberFormat="1" applyFont="1" applyBorder="1" applyAlignment="1">
      <alignment/>
    </xf>
    <xf numFmtId="0" fontId="3" fillId="0" borderId="0" xfId="0" applyFont="1" applyBorder="1" applyAlignment="1" quotePrefix="1">
      <alignment/>
    </xf>
    <xf numFmtId="0" fontId="3" fillId="0" borderId="4" xfId="0" applyFont="1" applyBorder="1" applyAlignment="1">
      <alignment horizontal="right"/>
    </xf>
    <xf numFmtId="165" fontId="1" fillId="0" borderId="0" xfId="0" applyNumberFormat="1" applyFont="1" applyBorder="1" applyAlignment="1">
      <alignment/>
    </xf>
    <xf numFmtId="0" fontId="2" fillId="0" borderId="0" xfId="0" applyFont="1" applyBorder="1" applyAlignment="1">
      <alignment/>
    </xf>
    <xf numFmtId="165" fontId="1" fillId="0" borderId="0" xfId="18" applyNumberFormat="1" applyFont="1" applyBorder="1" applyAlignment="1">
      <alignment horizontal="right"/>
    </xf>
    <xf numFmtId="0" fontId="14" fillId="0" borderId="0" xfId="0" applyFont="1" applyBorder="1" applyAlignment="1">
      <alignment/>
    </xf>
    <xf numFmtId="165" fontId="3" fillId="0" borderId="5" xfId="0" applyNumberFormat="1" applyFont="1" applyBorder="1" applyAlignment="1">
      <alignment/>
    </xf>
    <xf numFmtId="165" fontId="3" fillId="0" borderId="0" xfId="16" applyNumberFormat="1" applyFont="1" applyBorder="1" applyAlignment="1">
      <alignment/>
    </xf>
    <xf numFmtId="14" fontId="3" fillId="0" borderId="4" xfId="0" applyNumberFormat="1" applyFont="1" applyBorder="1" applyAlignment="1">
      <alignment horizontal="right"/>
    </xf>
    <xf numFmtId="0" fontId="25" fillId="0" borderId="0" xfId="0" applyFont="1" applyBorder="1" applyAlignment="1" quotePrefix="1">
      <alignment/>
    </xf>
    <xf numFmtId="0" fontId="25" fillId="0" borderId="0" xfId="0" applyFont="1" applyBorder="1" applyAlignment="1">
      <alignment/>
    </xf>
    <xf numFmtId="0" fontId="17" fillId="0" borderId="0" xfId="0" applyFont="1" applyBorder="1" applyAlignment="1">
      <alignment/>
    </xf>
    <xf numFmtId="14" fontId="25" fillId="0" borderId="0" xfId="0" applyNumberFormat="1" applyFont="1" applyBorder="1" applyAlignment="1" quotePrefix="1">
      <alignment horizontal="right"/>
    </xf>
    <xf numFmtId="14" fontId="25" fillId="0" borderId="4" xfId="0" applyNumberFormat="1" applyFont="1" applyBorder="1" applyAlignment="1">
      <alignment horizontal="right"/>
    </xf>
    <xf numFmtId="0" fontId="25" fillId="0" borderId="0" xfId="0" applyFont="1" applyBorder="1" applyAlignment="1">
      <alignment horizontal="right"/>
    </xf>
    <xf numFmtId="0" fontId="33" fillId="0" borderId="0" xfId="0" applyFont="1" applyBorder="1" applyAlignment="1">
      <alignment/>
    </xf>
    <xf numFmtId="14" fontId="25" fillId="0" borderId="0" xfId="0" applyNumberFormat="1" applyFont="1" applyBorder="1" applyAlignment="1">
      <alignment/>
    </xf>
    <xf numFmtId="165" fontId="17" fillId="0" borderId="0" xfId="18" applyNumberFormat="1" applyFont="1" applyBorder="1" applyAlignment="1">
      <alignment horizontal="right"/>
    </xf>
    <xf numFmtId="165" fontId="25" fillId="0" borderId="5" xfId="0" applyNumberFormat="1" applyFont="1" applyBorder="1" applyAlignment="1">
      <alignment/>
    </xf>
    <xf numFmtId="165" fontId="17" fillId="0" borderId="0" xfId="0" applyNumberFormat="1" applyFont="1" applyBorder="1" applyAlignment="1">
      <alignment horizontal="right"/>
    </xf>
    <xf numFmtId="165" fontId="25" fillId="0" borderId="0" xfId="0" applyNumberFormat="1" applyFont="1" applyBorder="1" applyAlignment="1">
      <alignment/>
    </xf>
    <xf numFmtId="165" fontId="17" fillId="0" borderId="0" xfId="0" applyNumberFormat="1" applyFont="1" applyBorder="1" applyAlignment="1">
      <alignment/>
    </xf>
    <xf numFmtId="0" fontId="25" fillId="0" borderId="0" xfId="0" applyFont="1" applyBorder="1" applyAlignment="1">
      <alignment horizontal="center"/>
    </xf>
    <xf numFmtId="0" fontId="25" fillId="0" borderId="0" xfId="0" applyFont="1" applyAlignment="1" quotePrefix="1">
      <alignment horizontal="center"/>
    </xf>
    <xf numFmtId="3" fontId="1" fillId="0" borderId="0" xfId="0" applyNumberFormat="1" applyFont="1" applyBorder="1" applyAlignment="1">
      <alignment/>
    </xf>
    <xf numFmtId="0" fontId="3" fillId="0" borderId="0" xfId="0" applyFont="1" applyBorder="1" applyAlignment="1" quotePrefix="1">
      <alignment horizontal="center"/>
    </xf>
    <xf numFmtId="0" fontId="4" fillId="0" borderId="0" xfId="0" applyFont="1" applyBorder="1" applyAlignment="1">
      <alignment/>
    </xf>
    <xf numFmtId="0" fontId="3" fillId="0" borderId="0" xfId="0" applyFont="1" applyBorder="1" applyAlignment="1">
      <alignment horizontal="left"/>
    </xf>
    <xf numFmtId="0" fontId="1" fillId="0" borderId="0" xfId="0" applyFont="1" applyBorder="1" applyAlignment="1">
      <alignment horizontal="left"/>
    </xf>
    <xf numFmtId="0" fontId="0" fillId="0" borderId="6" xfId="0" applyFont="1" applyBorder="1" applyAlignment="1">
      <alignment/>
    </xf>
    <xf numFmtId="0" fontId="0" fillId="0" borderId="0" xfId="0" applyFont="1" applyBorder="1" applyAlignment="1">
      <alignment horizontal="center"/>
    </xf>
    <xf numFmtId="0" fontId="1" fillId="0" borderId="7" xfId="0" applyFont="1" applyBorder="1" applyAlignment="1">
      <alignment horizontal="left"/>
    </xf>
    <xf numFmtId="0" fontId="1" fillId="0" borderId="4" xfId="0" applyFont="1" applyBorder="1" applyAlignment="1">
      <alignment horizontal="left"/>
    </xf>
    <xf numFmtId="0" fontId="0" fillId="0" borderId="8" xfId="0" applyFont="1" applyBorder="1" applyAlignment="1">
      <alignment horizontal="left"/>
    </xf>
    <xf numFmtId="0" fontId="0" fillId="0" borderId="4" xfId="0" applyFont="1" applyBorder="1" applyAlignment="1">
      <alignment horizontal="center"/>
    </xf>
    <xf numFmtId="2" fontId="1" fillId="0" borderId="0" xfId="0" applyNumberFormat="1" applyFont="1" applyBorder="1" applyAlignment="1">
      <alignment horizontal="center"/>
    </xf>
    <xf numFmtId="0" fontId="1" fillId="0" borderId="0" xfId="0" applyFont="1" applyBorder="1" applyAlignment="1">
      <alignment horizontal="centerContinuous"/>
    </xf>
    <xf numFmtId="0" fontId="6" fillId="0" borderId="0" xfId="0" applyFont="1" applyAlignment="1">
      <alignment horizontal="centerContinuous"/>
    </xf>
    <xf numFmtId="0" fontId="4" fillId="0" borderId="0" xfId="0" applyFont="1" applyBorder="1" applyAlignment="1" quotePrefix="1">
      <alignment/>
    </xf>
    <xf numFmtId="14" fontId="3" fillId="0" borderId="0" xfId="0" applyNumberFormat="1" applyFont="1" applyBorder="1" applyAlignment="1">
      <alignment horizontal="right"/>
    </xf>
    <xf numFmtId="0" fontId="6" fillId="0" borderId="0" xfId="0" applyFont="1" applyBorder="1" applyAlignment="1">
      <alignment horizontal="left"/>
    </xf>
    <xf numFmtId="0" fontId="14" fillId="0" borderId="0" xfId="0" applyFont="1" applyBorder="1" applyAlignment="1">
      <alignment horizontal="right"/>
    </xf>
    <xf numFmtId="165" fontId="5" fillId="0" borderId="0" xfId="16" applyNumberFormat="1" applyFont="1" applyBorder="1" applyAlignment="1">
      <alignment/>
    </xf>
    <xf numFmtId="165" fontId="1" fillId="0" borderId="4" xfId="16" applyNumberFormat="1" applyFont="1" applyBorder="1" applyAlignment="1">
      <alignment/>
    </xf>
    <xf numFmtId="0" fontId="18" fillId="0" borderId="0" xfId="0" applyFont="1" applyBorder="1" applyAlignment="1">
      <alignment horizontal="center"/>
    </xf>
    <xf numFmtId="0" fontId="18" fillId="0" borderId="0" xfId="0" applyFont="1" applyBorder="1" applyAlignment="1">
      <alignment/>
    </xf>
    <xf numFmtId="165" fontId="7" fillId="0" borderId="0" xfId="16" applyNumberFormat="1" applyFont="1" applyBorder="1" applyAlignment="1">
      <alignment/>
    </xf>
    <xf numFmtId="0" fontId="3" fillId="0" borderId="0" xfId="0" applyFont="1" applyBorder="1" applyAlignment="1">
      <alignment horizontal="center" vertical="justify" wrapText="1"/>
    </xf>
    <xf numFmtId="165" fontId="3" fillId="0" borderId="0" xfId="16" applyNumberFormat="1" applyFont="1" applyBorder="1" applyAlignment="1">
      <alignment horizontal="center"/>
    </xf>
    <xf numFmtId="14" fontId="3" fillId="0" borderId="0" xfId="0" applyNumberFormat="1" applyFont="1" applyBorder="1" applyAlignment="1" quotePrefix="1">
      <alignment horizontal="center"/>
    </xf>
    <xf numFmtId="0" fontId="37" fillId="0" borderId="0" xfId="0" applyFont="1" applyBorder="1" applyAlignment="1">
      <alignment horizontal="center"/>
    </xf>
    <xf numFmtId="0" fontId="1" fillId="0" borderId="0" xfId="0" applyFont="1" applyBorder="1" applyAlignment="1" quotePrefix="1">
      <alignment/>
    </xf>
    <xf numFmtId="165" fontId="14" fillId="0" borderId="0" xfId="16" applyNumberFormat="1" applyFont="1" applyBorder="1" applyAlignment="1">
      <alignment/>
    </xf>
    <xf numFmtId="165" fontId="0" fillId="0" borderId="0" xfId="0" applyNumberFormat="1" applyBorder="1" applyAlignment="1">
      <alignment/>
    </xf>
    <xf numFmtId="165" fontId="8" fillId="0" borderId="0" xfId="0" applyNumberFormat="1" applyFont="1" applyBorder="1" applyAlignment="1">
      <alignment/>
    </xf>
    <xf numFmtId="165" fontId="8" fillId="0" borderId="0" xfId="0" applyNumberFormat="1" applyFont="1" applyAlignment="1">
      <alignment/>
    </xf>
    <xf numFmtId="0" fontId="1" fillId="0" borderId="0" xfId="0" applyFont="1" applyAlignment="1">
      <alignment horizontal="left" vertical="center"/>
    </xf>
    <xf numFmtId="165" fontId="3" fillId="0" borderId="4" xfId="16" applyNumberFormat="1" applyFont="1" applyBorder="1" applyAlignment="1">
      <alignment horizontal="right"/>
    </xf>
    <xf numFmtId="3" fontId="3" fillId="0" borderId="5" xfId="0" applyNumberFormat="1" applyFont="1" applyBorder="1" applyAlignment="1">
      <alignment/>
    </xf>
    <xf numFmtId="0" fontId="14" fillId="0" borderId="0" xfId="0" applyFont="1" applyAlignment="1">
      <alignment/>
    </xf>
    <xf numFmtId="165" fontId="3" fillId="0" borderId="0" xfId="0" applyNumberFormat="1" applyFont="1" applyBorder="1" applyAlignment="1">
      <alignment horizontal="right"/>
    </xf>
    <xf numFmtId="165" fontId="33" fillId="0" borderId="0" xfId="0" applyNumberFormat="1" applyFont="1" applyBorder="1" applyAlignment="1">
      <alignment/>
    </xf>
    <xf numFmtId="0" fontId="6"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0" fontId="1" fillId="2" borderId="0" xfId="0" applyFont="1" applyFill="1" applyBorder="1" applyAlignment="1">
      <alignment/>
    </xf>
    <xf numFmtId="0" fontId="1" fillId="0" borderId="0" xfId="0" applyFont="1" applyFill="1" applyBorder="1" applyAlignment="1">
      <alignment/>
    </xf>
    <xf numFmtId="165" fontId="1" fillId="0" borderId="0" xfId="0" applyNumberFormat="1" applyFont="1" applyFill="1" applyBorder="1" applyAlignment="1">
      <alignment/>
    </xf>
    <xf numFmtId="165" fontId="1" fillId="0" borderId="0" xfId="16" applyNumberFormat="1" applyFont="1" applyFill="1" applyBorder="1" applyAlignment="1">
      <alignment/>
    </xf>
    <xf numFmtId="0" fontId="0" fillId="0" borderId="4" xfId="0" applyBorder="1" applyAlignment="1">
      <alignment/>
    </xf>
    <xf numFmtId="0" fontId="1" fillId="0" borderId="0" xfId="0" applyFont="1" applyFill="1" applyAlignment="1">
      <alignment/>
    </xf>
    <xf numFmtId="165" fontId="1" fillId="0" borderId="0" xfId="16" applyNumberFormat="1" applyFont="1" applyFill="1" applyAlignment="1">
      <alignment/>
    </xf>
    <xf numFmtId="165" fontId="1" fillId="0" borderId="4" xfId="16" applyNumberFormat="1" applyFont="1" applyBorder="1" applyAlignment="1">
      <alignment/>
    </xf>
    <xf numFmtId="0" fontId="0" fillId="0" borderId="0" xfId="0" applyAlignment="1" applyProtection="1">
      <alignment/>
      <protection hidden="1" locked="0"/>
    </xf>
    <xf numFmtId="0" fontId="39" fillId="0" borderId="0" xfId="0" applyFont="1" applyFill="1" applyAlignment="1">
      <alignment/>
    </xf>
    <xf numFmtId="0" fontId="6" fillId="0" borderId="0" xfId="0" applyFont="1" applyFill="1" applyAlignment="1">
      <alignment/>
    </xf>
    <xf numFmtId="0" fontId="0" fillId="0" borderId="0" xfId="0" applyFont="1" applyFill="1" applyAlignment="1">
      <alignment/>
    </xf>
    <xf numFmtId="165" fontId="6" fillId="0" borderId="0" xfId="0" applyNumberFormat="1" applyFont="1" applyFill="1" applyAlignment="1">
      <alignment horizontal="right"/>
    </xf>
    <xf numFmtId="0" fontId="39" fillId="0" borderId="0" xfId="0" applyFont="1" applyFill="1" applyAlignment="1">
      <alignment horizontal="right"/>
    </xf>
    <xf numFmtId="0" fontId="40" fillId="0" borderId="0" xfId="0" applyFont="1" applyFill="1" applyAlignment="1">
      <alignment/>
    </xf>
    <xf numFmtId="0" fontId="19" fillId="0" borderId="0" xfId="0" applyFont="1" applyFill="1" applyAlignment="1">
      <alignment/>
    </xf>
    <xf numFmtId="0" fontId="1" fillId="0" borderId="0" xfId="0" applyFont="1" applyFill="1" applyAlignment="1">
      <alignment/>
    </xf>
    <xf numFmtId="0" fontId="0" fillId="0" borderId="0" xfId="0" applyFont="1" applyFill="1" applyBorder="1" applyAlignment="1">
      <alignment/>
    </xf>
    <xf numFmtId="165" fontId="5" fillId="0" borderId="0" xfId="0" applyNumberFormat="1" applyFont="1" applyFill="1" applyAlignment="1">
      <alignment horizontal="right"/>
    </xf>
    <xf numFmtId="0" fontId="43" fillId="0" borderId="0" xfId="0" applyFont="1" applyFill="1" applyBorder="1" applyAlignment="1">
      <alignment horizontal="right"/>
    </xf>
    <xf numFmtId="0" fontId="0" fillId="0" borderId="0" xfId="0" applyFont="1" applyFill="1" applyBorder="1" applyAlignment="1">
      <alignment/>
    </xf>
    <xf numFmtId="165" fontId="0" fillId="0" borderId="0" xfId="0" applyNumberFormat="1" applyFont="1" applyFill="1" applyBorder="1" applyAlignment="1">
      <alignment/>
    </xf>
    <xf numFmtId="0" fontId="1" fillId="0" borderId="4" xfId="0" applyFont="1" applyFill="1" applyBorder="1" applyAlignment="1">
      <alignment/>
    </xf>
    <xf numFmtId="0" fontId="1" fillId="0" borderId="4" xfId="0" applyFont="1" applyFill="1" applyBorder="1" applyAlignment="1">
      <alignment/>
    </xf>
    <xf numFmtId="0" fontId="0" fillId="0" borderId="4" xfId="0" applyFont="1" applyFill="1" applyBorder="1" applyAlignment="1">
      <alignment/>
    </xf>
    <xf numFmtId="0" fontId="0" fillId="0" borderId="4" xfId="0" applyFont="1" applyFill="1" applyBorder="1" applyAlignment="1">
      <alignment/>
    </xf>
    <xf numFmtId="165" fontId="0" fillId="0" borderId="4" xfId="0" applyNumberFormat="1" applyFont="1" applyFill="1" applyBorder="1" applyAlignment="1">
      <alignment/>
    </xf>
    <xf numFmtId="0" fontId="7" fillId="0" borderId="0" xfId="0" applyFont="1" applyFill="1" applyBorder="1" applyAlignment="1">
      <alignment horizontal="right"/>
    </xf>
    <xf numFmtId="165" fontId="1" fillId="0" borderId="0" xfId="0" applyNumberFormat="1" applyFont="1" applyFill="1" applyAlignment="1">
      <alignment/>
    </xf>
    <xf numFmtId="0" fontId="2" fillId="0" borderId="0" xfId="0" applyFont="1" applyFill="1" applyAlignment="1">
      <alignment horizontal="right"/>
    </xf>
    <xf numFmtId="0" fontId="5" fillId="0" borderId="0" xfId="0" applyFont="1" applyFill="1" applyAlignment="1">
      <alignment horizontal="right"/>
    </xf>
    <xf numFmtId="0" fontId="28" fillId="0" borderId="0" xfId="0" applyFont="1" applyFill="1" applyAlignment="1">
      <alignment/>
    </xf>
    <xf numFmtId="0" fontId="1"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xf>
    <xf numFmtId="0" fontId="14" fillId="0" borderId="0" xfId="0" applyFont="1" applyFill="1" applyAlignment="1">
      <alignment horizontal="center"/>
    </xf>
    <xf numFmtId="165" fontId="3" fillId="0" borderId="0" xfId="16" applyNumberFormat="1" applyFont="1" applyFill="1" applyAlignment="1">
      <alignment/>
    </xf>
    <xf numFmtId="165" fontId="3" fillId="0" borderId="0" xfId="16" applyNumberFormat="1" applyFont="1" applyFill="1" applyAlignment="1">
      <alignment horizontal="right"/>
    </xf>
    <xf numFmtId="43" fontId="3" fillId="0" borderId="0" xfId="16" applyNumberFormat="1" applyFont="1" applyFill="1" applyAlignment="1">
      <alignment horizontal="right"/>
    </xf>
    <xf numFmtId="0" fontId="3" fillId="0" borderId="0" xfId="0" applyFont="1" applyFill="1" applyAlignment="1">
      <alignment/>
    </xf>
    <xf numFmtId="165" fontId="1" fillId="0" borderId="0" xfId="16" applyNumberFormat="1" applyFont="1" applyFill="1" applyAlignment="1">
      <alignment horizontal="right"/>
    </xf>
    <xf numFmtId="43" fontId="1" fillId="0" borderId="0" xfId="0" applyNumberFormat="1" applyFont="1" applyFill="1" applyAlignment="1">
      <alignment horizontal="right"/>
    </xf>
    <xf numFmtId="0" fontId="3" fillId="0" borderId="0" xfId="0" applyNumberFormat="1" applyFont="1" applyFill="1" applyAlignment="1">
      <alignment horizontal="center"/>
    </xf>
    <xf numFmtId="165" fontId="3" fillId="0" borderId="0" xfId="16" applyNumberFormat="1" applyFont="1" applyFill="1" applyAlignment="1">
      <alignment horizontal="center"/>
    </xf>
    <xf numFmtId="0" fontId="1" fillId="0" borderId="0" xfId="0" applyFont="1" applyFill="1" applyAlignment="1">
      <alignment horizontal="center"/>
    </xf>
    <xf numFmtId="0" fontId="2" fillId="0" borderId="0" xfId="0" applyFont="1" applyFill="1" applyAlignment="1">
      <alignment horizontal="center"/>
    </xf>
    <xf numFmtId="172" fontId="45" fillId="0" borderId="0" xfId="16" applyNumberFormat="1" applyFont="1" applyFill="1" applyBorder="1" applyAlignment="1">
      <alignment horizontal="center"/>
    </xf>
    <xf numFmtId="43" fontId="1" fillId="0" borderId="0" xfId="16" applyNumberFormat="1" applyFont="1" applyFill="1" applyAlignment="1">
      <alignment horizontal="right"/>
    </xf>
    <xf numFmtId="0" fontId="1" fillId="0" borderId="0" xfId="16" applyNumberFormat="1" applyFont="1" applyFill="1" applyAlignment="1">
      <alignment horizontal="center"/>
    </xf>
    <xf numFmtId="165" fontId="1" fillId="0" borderId="0" xfId="16" applyNumberFormat="1" applyFont="1" applyFill="1" applyAlignment="1">
      <alignment horizontal="center"/>
    </xf>
    <xf numFmtId="43" fontId="3" fillId="0" borderId="0" xfId="0" applyNumberFormat="1" applyFont="1" applyFill="1" applyAlignment="1">
      <alignment horizontal="righ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center"/>
    </xf>
    <xf numFmtId="165" fontId="1" fillId="0" borderId="0" xfId="16" applyNumberFormat="1" applyFont="1" applyFill="1" applyAlignment="1">
      <alignment horizontal="center"/>
    </xf>
    <xf numFmtId="43" fontId="1" fillId="0" borderId="0" xfId="0" applyNumberFormat="1" applyFont="1" applyFill="1" applyAlignment="1">
      <alignment horizontal="right"/>
    </xf>
    <xf numFmtId="165" fontId="1" fillId="0" borderId="0" xfId="16" applyNumberFormat="1" applyFont="1" applyFill="1" applyAlignment="1">
      <alignment horizontal="right"/>
    </xf>
    <xf numFmtId="0" fontId="1" fillId="0" borderId="0" xfId="0" applyNumberFormat="1" applyFont="1" applyFill="1" applyAlignment="1">
      <alignment horizontal="center"/>
    </xf>
    <xf numFmtId="165" fontId="0" fillId="0" borderId="0" xfId="0" applyNumberFormat="1" applyFont="1" applyFill="1" applyAlignment="1">
      <alignment/>
    </xf>
    <xf numFmtId="0" fontId="0" fillId="0" borderId="0" xfId="0" applyFont="1" applyFill="1" applyAlignment="1">
      <alignment/>
    </xf>
    <xf numFmtId="0" fontId="1" fillId="0" borderId="0" xfId="0" applyFont="1" applyFill="1" applyAlignment="1" quotePrefix="1">
      <alignment/>
    </xf>
    <xf numFmtId="0" fontId="1" fillId="0" borderId="0" xfId="0" applyFont="1" applyFill="1" applyAlignment="1" quotePrefix="1">
      <alignment horizontal="center"/>
    </xf>
    <xf numFmtId="0" fontId="2" fillId="0" borderId="0" xfId="0" applyFont="1" applyFill="1" applyAlignment="1" quotePrefix="1">
      <alignment horizontal="center"/>
    </xf>
    <xf numFmtId="0" fontId="1" fillId="0" borderId="0" xfId="0" applyFont="1" applyFill="1" applyAlignment="1" quotePrefix="1">
      <alignment horizontal="center"/>
    </xf>
    <xf numFmtId="0" fontId="3" fillId="0" borderId="0" xfId="16" applyNumberFormat="1" applyFont="1" applyFill="1" applyAlignment="1">
      <alignment horizontal="center"/>
    </xf>
    <xf numFmtId="43" fontId="17" fillId="0" borderId="0" xfId="16" applyNumberFormat="1" applyFont="1" applyFill="1" applyAlignment="1">
      <alignment horizontal="right"/>
    </xf>
    <xf numFmtId="165" fontId="17" fillId="0" borderId="0" xfId="16" applyNumberFormat="1" applyFont="1" applyFill="1" applyAlignment="1">
      <alignment horizontal="right"/>
    </xf>
    <xf numFmtId="43" fontId="26" fillId="0" borderId="0" xfId="0" applyNumberFormat="1" applyFont="1" applyFill="1" applyAlignment="1">
      <alignment horizontal="right"/>
    </xf>
    <xf numFmtId="43" fontId="1" fillId="0" borderId="0" xfId="16" applyNumberFormat="1" applyFont="1" applyFill="1" applyAlignment="1">
      <alignment horizontal="right"/>
    </xf>
    <xf numFmtId="0" fontId="2" fillId="0" borderId="0" xfId="0" applyFont="1" applyFill="1" applyAlignment="1">
      <alignment/>
    </xf>
    <xf numFmtId="0" fontId="14" fillId="0" borderId="0" xfId="0" applyNumberFormat="1" applyFont="1" applyFill="1" applyAlignment="1">
      <alignment horizontal="center"/>
    </xf>
    <xf numFmtId="165" fontId="2" fillId="0" borderId="0" xfId="16" applyNumberFormat="1" applyFont="1" applyFill="1" applyAlignment="1">
      <alignment horizontal="center"/>
    </xf>
    <xf numFmtId="165" fontId="2" fillId="0" borderId="0" xfId="16" applyNumberFormat="1" applyFont="1" applyFill="1" applyAlignment="1">
      <alignment horizontal="right"/>
    </xf>
    <xf numFmtId="43" fontId="2" fillId="0" borderId="0" xfId="0" applyNumberFormat="1" applyFont="1" applyFill="1" applyAlignment="1">
      <alignment horizontal="right"/>
    </xf>
    <xf numFmtId="0" fontId="9" fillId="0" borderId="0" xfId="0" applyFont="1" applyFill="1" applyAlignment="1">
      <alignment/>
    </xf>
    <xf numFmtId="0" fontId="1" fillId="0" borderId="0" xfId="0" applyFont="1" applyFill="1" applyBorder="1" applyAlignment="1">
      <alignment horizontal="right"/>
    </xf>
    <xf numFmtId="165" fontId="1" fillId="0" borderId="0" xfId="0" applyNumberFormat="1" applyFont="1" applyFill="1" applyAlignment="1">
      <alignment/>
    </xf>
    <xf numFmtId="0" fontId="3" fillId="0" borderId="0" xfId="16" applyNumberFormat="1" applyFont="1" applyFill="1" applyAlignment="1" quotePrefix="1">
      <alignment horizontal="center"/>
    </xf>
    <xf numFmtId="0" fontId="8" fillId="0" borderId="0" xfId="0" applyFont="1" applyFill="1" applyAlignment="1">
      <alignment/>
    </xf>
    <xf numFmtId="165" fontId="0" fillId="0" borderId="0" xfId="16" applyNumberFormat="1" applyFont="1" applyFill="1" applyAlignment="1">
      <alignment/>
    </xf>
    <xf numFmtId="172" fontId="45" fillId="0" borderId="0" xfId="16" applyNumberFormat="1" applyFont="1" applyFill="1" applyBorder="1" applyAlignment="1">
      <alignment horizontal="center" vertical="center"/>
    </xf>
    <xf numFmtId="0" fontId="1" fillId="0" borderId="0" xfId="16" applyNumberFormat="1" applyFont="1" applyFill="1" applyAlignment="1" quotePrefix="1">
      <alignment horizontal="center"/>
    </xf>
    <xf numFmtId="0" fontId="26" fillId="0" borderId="0" xfId="0" applyFont="1" applyFill="1" applyAlignment="1">
      <alignment/>
    </xf>
    <xf numFmtId="165" fontId="1" fillId="0" borderId="0" xfId="16" applyNumberFormat="1" applyFont="1" applyFill="1" applyAlignment="1">
      <alignment/>
    </xf>
    <xf numFmtId="0" fontId="4" fillId="0" borderId="5" xfId="0" applyFont="1" applyFill="1" applyBorder="1" applyAlignment="1">
      <alignment horizontal="left"/>
    </xf>
    <xf numFmtId="0" fontId="4" fillId="0" borderId="0" xfId="0" applyFont="1" applyFill="1" applyAlignment="1">
      <alignment horizontal="left"/>
    </xf>
    <xf numFmtId="0" fontId="27" fillId="0" borderId="0" xfId="0" applyFont="1" applyFill="1" applyAlignment="1">
      <alignment horizontal="center"/>
    </xf>
    <xf numFmtId="165" fontId="3" fillId="0" borderId="5" xfId="16" applyNumberFormat="1" applyFont="1" applyFill="1" applyBorder="1" applyAlignment="1">
      <alignment horizontal="right"/>
    </xf>
    <xf numFmtId="43" fontId="3" fillId="0" borderId="0" xfId="16" applyNumberFormat="1" applyFont="1" applyFill="1" applyBorder="1" applyAlignment="1">
      <alignment horizontal="right"/>
    </xf>
    <xf numFmtId="0" fontId="46" fillId="0" borderId="0" xfId="0" applyFont="1" applyFill="1" applyAlignment="1">
      <alignment/>
    </xf>
    <xf numFmtId="0" fontId="6" fillId="0" borderId="0" xfId="0" applyFont="1" applyFill="1" applyAlignment="1">
      <alignment/>
    </xf>
    <xf numFmtId="0" fontId="41" fillId="0" borderId="0" xfId="0" applyFont="1" applyFill="1" applyAlignment="1">
      <alignment/>
    </xf>
    <xf numFmtId="165" fontId="1" fillId="0" borderId="0" xfId="0" applyNumberFormat="1" applyFont="1" applyFill="1" applyAlignment="1">
      <alignment horizontal="center"/>
    </xf>
    <xf numFmtId="0" fontId="28" fillId="0" borderId="0" xfId="0" applyNumberFormat="1" applyFont="1" applyFill="1" applyAlignment="1">
      <alignment horizontal="center"/>
    </xf>
    <xf numFmtId="43" fontId="4" fillId="0" borderId="0" xfId="16" applyNumberFormat="1" applyFont="1" applyFill="1" applyAlignment="1">
      <alignment/>
    </xf>
    <xf numFmtId="165" fontId="4" fillId="0" borderId="0" xfId="16" applyNumberFormat="1" applyFont="1" applyFill="1" applyAlignment="1">
      <alignment/>
    </xf>
    <xf numFmtId="0" fontId="29" fillId="0" borderId="0" xfId="0" applyFont="1" applyFill="1" applyAlignment="1">
      <alignment/>
    </xf>
    <xf numFmtId="43" fontId="3" fillId="0" borderId="0" xfId="16" applyNumberFormat="1" applyFont="1" applyFill="1" applyAlignment="1">
      <alignment/>
    </xf>
    <xf numFmtId="43" fontId="1" fillId="0" borderId="0" xfId="16" applyNumberFormat="1" applyFont="1" applyFill="1" applyAlignment="1">
      <alignment/>
    </xf>
    <xf numFmtId="0" fontId="1" fillId="0" borderId="0" xfId="0" applyNumberFormat="1" applyFont="1" applyFill="1" applyAlignment="1" quotePrefix="1">
      <alignment horizontal="center"/>
    </xf>
    <xf numFmtId="43" fontId="1" fillId="0" borderId="0" xfId="16" applyNumberFormat="1" applyFont="1" applyFill="1" applyAlignment="1">
      <alignment/>
    </xf>
    <xf numFmtId="41" fontId="1" fillId="0" borderId="0" xfId="17" applyFont="1" applyFill="1" applyAlignment="1">
      <alignment/>
    </xf>
    <xf numFmtId="43" fontId="0" fillId="0" borderId="0" xfId="0" applyNumberFormat="1" applyFont="1" applyFill="1" applyAlignment="1">
      <alignment/>
    </xf>
    <xf numFmtId="0" fontId="1" fillId="0" borderId="0" xfId="0" applyNumberFormat="1" applyFont="1" applyFill="1" applyAlignment="1">
      <alignment horizontal="center"/>
    </xf>
    <xf numFmtId="43" fontId="1" fillId="0" borderId="0" xfId="16" applyNumberFormat="1" applyFont="1" applyFill="1" applyAlignment="1">
      <alignment horizontal="center"/>
    </xf>
    <xf numFmtId="0" fontId="4" fillId="0" borderId="0" xfId="0" applyNumberFormat="1" applyFont="1" applyFill="1" applyAlignment="1">
      <alignment horizontal="center"/>
    </xf>
    <xf numFmtId="43" fontId="4" fillId="0" borderId="0" xfId="16" applyNumberFormat="1" applyFont="1" applyFill="1" applyAlignment="1">
      <alignment horizontal="center"/>
    </xf>
    <xf numFmtId="43" fontId="3" fillId="0" borderId="0" xfId="16" applyNumberFormat="1" applyFont="1" applyFill="1" applyAlignment="1">
      <alignment horizontal="center"/>
    </xf>
    <xf numFmtId="0" fontId="1" fillId="0" borderId="0" xfId="0" applyFont="1" applyFill="1" applyAlignment="1">
      <alignment horizontal="left"/>
    </xf>
    <xf numFmtId="165" fontId="3" fillId="0" borderId="5" xfId="16" applyNumberFormat="1" applyFont="1" applyFill="1" applyBorder="1" applyAlignment="1">
      <alignment/>
    </xf>
    <xf numFmtId="43" fontId="3" fillId="0" borderId="0" xfId="16" applyNumberFormat="1" applyFont="1" applyFill="1" applyBorder="1" applyAlignment="1">
      <alignment/>
    </xf>
    <xf numFmtId="0" fontId="15" fillId="0" borderId="0" xfId="0" applyFont="1" applyFill="1" applyAlignment="1">
      <alignment/>
    </xf>
    <xf numFmtId="0" fontId="15" fillId="0" borderId="0" xfId="0" applyFont="1" applyFill="1" applyAlignment="1">
      <alignment/>
    </xf>
    <xf numFmtId="165" fontId="9" fillId="0" borderId="0" xfId="16" applyNumberFormat="1" applyFont="1" applyFill="1" applyAlignment="1">
      <alignment/>
    </xf>
    <xf numFmtId="165" fontId="9" fillId="0" borderId="0" xfId="16" applyNumberFormat="1" applyFont="1" applyFill="1" applyAlignment="1">
      <alignment/>
    </xf>
    <xf numFmtId="165" fontId="15" fillId="0" borderId="0" xfId="16" applyNumberFormat="1" applyFont="1" applyFill="1" applyAlignment="1">
      <alignment/>
    </xf>
    <xf numFmtId="165" fontId="0" fillId="0" borderId="0" xfId="0" applyNumberFormat="1" applyFont="1" applyFill="1" applyAlignment="1">
      <alignment/>
    </xf>
    <xf numFmtId="165" fontId="2" fillId="0" borderId="0" xfId="16" applyNumberFormat="1" applyFont="1" applyFill="1" applyAlignment="1">
      <alignment/>
    </xf>
    <xf numFmtId="165" fontId="2" fillId="0" borderId="0" xfId="16" applyNumberFormat="1" applyFont="1" applyFill="1" applyAlignment="1">
      <alignment horizontal="centerContinuous"/>
    </xf>
    <xf numFmtId="0" fontId="1" fillId="0" borderId="0" xfId="0" applyFont="1" applyFill="1" applyAlignment="1">
      <alignment/>
    </xf>
    <xf numFmtId="165" fontId="4" fillId="0" borderId="0" xfId="0" applyNumberFormat="1"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Alignment="1">
      <alignment horizontal="left" wrapText="1"/>
    </xf>
    <xf numFmtId="0" fontId="1" fillId="0" borderId="0" xfId="0" applyFont="1" applyFill="1" applyAlignment="1">
      <alignment wrapText="1"/>
    </xf>
    <xf numFmtId="165" fontId="1" fillId="0" borderId="0" xfId="0" applyNumberFormat="1" applyFont="1" applyFill="1" applyAlignment="1">
      <alignment wrapText="1"/>
    </xf>
    <xf numFmtId="172" fontId="45" fillId="0" borderId="0" xfId="16" applyNumberFormat="1" applyFont="1" applyBorder="1" applyAlignment="1">
      <alignment horizontal="center"/>
    </xf>
    <xf numFmtId="172" fontId="45" fillId="0" borderId="0" xfId="16" applyNumberFormat="1" applyFont="1" applyBorder="1" applyAlignment="1">
      <alignment horizontal="center" vertical="center"/>
    </xf>
    <xf numFmtId="172" fontId="44" fillId="0" borderId="0" xfId="16" applyNumberFormat="1" applyFont="1" applyBorder="1" applyAlignment="1">
      <alignment horizontal="center" vertical="center"/>
    </xf>
    <xf numFmtId="0" fontId="44" fillId="0" borderId="0" xfId="0" applyFont="1" applyFill="1" applyAlignment="1">
      <alignment horizontal="center" wrapText="1"/>
    </xf>
    <xf numFmtId="0" fontId="47" fillId="0" borderId="0" xfId="0" applyFont="1" applyFill="1" applyAlignment="1">
      <alignment/>
    </xf>
    <xf numFmtId="0" fontId="46" fillId="0" borderId="0" xfId="0" applyFont="1" applyAlignment="1">
      <alignment/>
    </xf>
    <xf numFmtId="38" fontId="44" fillId="0" borderId="0" xfId="16" applyNumberFormat="1" applyFont="1" applyBorder="1" applyAlignment="1">
      <alignment horizontal="center"/>
    </xf>
    <xf numFmtId="38" fontId="45" fillId="0" borderId="0" xfId="16" applyNumberFormat="1" applyFont="1" applyBorder="1" applyAlignment="1">
      <alignment horizontal="center"/>
    </xf>
    <xf numFmtId="0" fontId="44" fillId="0" borderId="0" xfId="0" applyFont="1" applyAlignment="1">
      <alignment horizontal="center"/>
    </xf>
    <xf numFmtId="0" fontId="44" fillId="0" borderId="0" xfId="0" applyFont="1" applyAlignment="1">
      <alignment/>
    </xf>
    <xf numFmtId="0" fontId="45" fillId="0" borderId="0" xfId="0" applyFont="1" applyAlignment="1">
      <alignment/>
    </xf>
    <xf numFmtId="43" fontId="45" fillId="0" borderId="0" xfId="16" applyFont="1" applyAlignment="1">
      <alignment/>
    </xf>
    <xf numFmtId="165" fontId="45" fillId="0" borderId="0" xfId="16" applyNumberFormat="1" applyFont="1" applyAlignment="1">
      <alignment/>
    </xf>
    <xf numFmtId="165" fontId="45" fillId="0" borderId="0" xfId="0" applyNumberFormat="1" applyFont="1" applyAlignment="1">
      <alignment/>
    </xf>
    <xf numFmtId="0" fontId="39" fillId="0" borderId="0" xfId="0" applyFont="1" applyBorder="1" applyAlignment="1">
      <alignment/>
    </xf>
    <xf numFmtId="0" fontId="41" fillId="0" borderId="0" xfId="0" applyFont="1" applyBorder="1" applyAlignment="1">
      <alignment/>
    </xf>
    <xf numFmtId="0" fontId="50" fillId="0" borderId="0" xfId="0" applyFont="1" applyBorder="1" applyAlignment="1">
      <alignment/>
    </xf>
    <xf numFmtId="3" fontId="45" fillId="0" borderId="0" xfId="0" applyNumberFormat="1" applyFont="1" applyBorder="1" applyAlignment="1">
      <alignment/>
    </xf>
    <xf numFmtId="0" fontId="44" fillId="0" borderId="0" xfId="0" applyFont="1" applyBorder="1" applyAlignment="1">
      <alignment/>
    </xf>
    <xf numFmtId="0" fontId="39" fillId="0" borderId="0" xfId="0" applyFont="1" applyAlignment="1">
      <alignment/>
    </xf>
    <xf numFmtId="0" fontId="41" fillId="0" borderId="0" xfId="0" applyFont="1" applyAlignment="1">
      <alignment/>
    </xf>
    <xf numFmtId="0" fontId="41" fillId="0" borderId="4" xfId="0" applyFont="1" applyBorder="1" applyAlignment="1">
      <alignment/>
    </xf>
    <xf numFmtId="38" fontId="45" fillId="0" borderId="0" xfId="32" applyNumberFormat="1" applyFont="1" applyFill="1" applyBorder="1" applyAlignment="1" quotePrefix="1">
      <alignment horizontal="left"/>
      <protection/>
    </xf>
    <xf numFmtId="3" fontId="51" fillId="0" borderId="0" xfId="0" applyNumberFormat="1" applyFont="1" applyFill="1" applyAlignment="1">
      <alignment vertical="top"/>
    </xf>
    <xf numFmtId="3" fontId="43" fillId="0" borderId="0" xfId="0" applyNumberFormat="1" applyFont="1" applyBorder="1" applyAlignment="1" quotePrefix="1">
      <alignment/>
    </xf>
    <xf numFmtId="0" fontId="45" fillId="0" borderId="0" xfId="0" applyFont="1" applyBorder="1" applyAlignment="1" quotePrefix="1">
      <alignment/>
    </xf>
    <xf numFmtId="3" fontId="44" fillId="0" borderId="0" xfId="31" applyNumberFormat="1" applyFont="1" applyFill="1" applyBorder="1" applyAlignment="1">
      <alignment horizontal="left"/>
      <protection/>
    </xf>
    <xf numFmtId="3" fontId="45" fillId="0" borderId="0" xfId="31" applyNumberFormat="1" applyFont="1" applyFill="1" applyBorder="1" applyAlignment="1">
      <alignment horizontal="left"/>
      <protection/>
    </xf>
    <xf numFmtId="165" fontId="17" fillId="0" borderId="0" xfId="16" applyNumberFormat="1" applyFont="1" applyBorder="1" applyAlignment="1">
      <alignment horizontal="right"/>
    </xf>
    <xf numFmtId="165" fontId="25" fillId="0" borderId="0" xfId="16" applyNumberFormat="1" applyFont="1" applyBorder="1" applyAlignment="1">
      <alignment horizontal="right"/>
    </xf>
    <xf numFmtId="3" fontId="45" fillId="0" borderId="0" xfId="0" applyNumberFormat="1" applyFont="1" applyAlignment="1">
      <alignment/>
    </xf>
    <xf numFmtId="3" fontId="43" fillId="0" borderId="0" xfId="0" applyNumberFormat="1" applyFont="1" applyAlignment="1">
      <alignment/>
    </xf>
    <xf numFmtId="3" fontId="45" fillId="0" borderId="0" xfId="31" applyNumberFormat="1" applyFont="1" applyFill="1" applyBorder="1" applyAlignment="1" quotePrefix="1">
      <alignment horizontal="left"/>
      <protection/>
    </xf>
    <xf numFmtId="3" fontId="52" fillId="0" borderId="0" xfId="33" applyNumberFormat="1" applyFont="1" applyFill="1" applyBorder="1" applyAlignment="1">
      <alignment/>
      <protection/>
    </xf>
    <xf numFmtId="3" fontId="45" fillId="0" borderId="0" xfId="33" applyNumberFormat="1" applyFont="1" applyFill="1" applyBorder="1" applyAlignment="1">
      <alignment/>
      <protection/>
    </xf>
    <xf numFmtId="3" fontId="51" fillId="0" borderId="0" xfId="33" applyNumberFormat="1" applyFont="1" applyFill="1" applyBorder="1" applyAlignment="1">
      <alignment/>
      <protection/>
    </xf>
    <xf numFmtId="3" fontId="3" fillId="0" borderId="0" xfId="0" applyNumberFormat="1" applyFont="1" applyBorder="1" applyAlignment="1">
      <alignment/>
    </xf>
    <xf numFmtId="3" fontId="45" fillId="0" borderId="0" xfId="0" applyNumberFormat="1" applyFont="1" applyAlignment="1">
      <alignment horizontal="justify" wrapText="1"/>
    </xf>
    <xf numFmtId="165" fontId="45" fillId="0" borderId="0" xfId="16" applyNumberFormat="1" applyFont="1" applyAlignment="1">
      <alignment horizontal="right" wrapText="1"/>
    </xf>
    <xf numFmtId="3" fontId="44" fillId="0" borderId="0" xfId="0" applyNumberFormat="1" applyFont="1" applyAlignment="1">
      <alignment/>
    </xf>
    <xf numFmtId="0" fontId="3" fillId="0" borderId="0" xfId="0" applyFont="1" applyAlignment="1" quotePrefix="1">
      <alignment horizontal="center"/>
    </xf>
    <xf numFmtId="3" fontId="48" fillId="0" borderId="0" xfId="0" applyNumberFormat="1" applyFont="1" applyAlignment="1">
      <alignment vertical="top"/>
    </xf>
    <xf numFmtId="3" fontId="48" fillId="0" borderId="0" xfId="0" applyNumberFormat="1" applyFont="1" applyAlignment="1">
      <alignment/>
    </xf>
    <xf numFmtId="3" fontId="45" fillId="0" borderId="0" xfId="0" applyNumberFormat="1" applyFont="1" applyAlignment="1" quotePrefix="1">
      <alignment/>
    </xf>
    <xf numFmtId="3" fontId="45" fillId="0" borderId="0" xfId="0" applyNumberFormat="1" applyFont="1" applyAlignment="1">
      <alignment/>
    </xf>
    <xf numFmtId="3" fontId="44" fillId="0" borderId="0" xfId="0" applyNumberFormat="1" applyFont="1" applyAlignment="1">
      <alignment/>
    </xf>
    <xf numFmtId="3" fontId="45" fillId="0" borderId="0" xfId="0" applyNumberFormat="1" applyFont="1" applyFill="1" applyBorder="1" applyAlignment="1">
      <alignment/>
    </xf>
    <xf numFmtId="165" fontId="45" fillId="0" borderId="0" xfId="16" applyNumberFormat="1" applyFont="1" applyFill="1" applyBorder="1" applyAlignment="1">
      <alignment horizontal="right"/>
    </xf>
    <xf numFmtId="0" fontId="45" fillId="0" borderId="0" xfId="0" applyFont="1" applyAlignment="1">
      <alignment horizontal="justify" wrapText="1"/>
    </xf>
    <xf numFmtId="165" fontId="17" fillId="0" borderId="0" xfId="16" applyNumberFormat="1" applyFont="1" applyAlignment="1">
      <alignment horizontal="right"/>
    </xf>
    <xf numFmtId="0" fontId="3" fillId="0" borderId="0" xfId="0" applyFont="1" applyFill="1" applyBorder="1" applyAlignment="1">
      <alignment horizontal="center" vertical="center"/>
    </xf>
    <xf numFmtId="165" fontId="2" fillId="0" borderId="0" xfId="16" applyNumberFormat="1" applyFont="1" applyFill="1" applyBorder="1" applyAlignment="1">
      <alignment horizontal="right"/>
    </xf>
    <xf numFmtId="0" fontId="3" fillId="0" borderId="0" xfId="0" applyFont="1" applyFill="1" applyBorder="1" applyAlignment="1">
      <alignment horizontal="center"/>
    </xf>
    <xf numFmtId="0" fontId="39" fillId="0" borderId="0" xfId="0" applyFont="1" applyFill="1" applyBorder="1" applyAlignment="1">
      <alignment horizontal="left"/>
    </xf>
    <xf numFmtId="0" fontId="39" fillId="0" borderId="0" xfId="0" applyFont="1" applyFill="1" applyBorder="1" applyAlignment="1">
      <alignment/>
    </xf>
    <xf numFmtId="0" fontId="45" fillId="0" borderId="0" xfId="0" applyFont="1" applyFill="1" applyBorder="1" applyAlignment="1">
      <alignment/>
    </xf>
    <xf numFmtId="0" fontId="48" fillId="0" borderId="0" xfId="0" applyFont="1" applyFill="1" applyBorder="1" applyAlignment="1">
      <alignment horizontal="right"/>
    </xf>
    <xf numFmtId="49" fontId="6" fillId="0" borderId="0" xfId="0" applyNumberFormat="1" applyFont="1" applyFill="1" applyBorder="1" applyAlignment="1">
      <alignment horizontal="right"/>
    </xf>
    <xf numFmtId="0" fontId="41" fillId="0" borderId="0" xfId="0" applyFont="1" applyFill="1" applyAlignment="1">
      <alignment horizontal="left"/>
    </xf>
    <xf numFmtId="0" fontId="41" fillId="0" borderId="0" xfId="0" applyFont="1" applyFill="1" applyBorder="1" applyAlignment="1">
      <alignment/>
    </xf>
    <xf numFmtId="0" fontId="42" fillId="0" borderId="0" xfId="0" applyFont="1" applyFill="1" applyBorder="1" applyAlignment="1">
      <alignment horizontal="right"/>
    </xf>
    <xf numFmtId="165" fontId="42" fillId="0" borderId="0" xfId="16" applyNumberFormat="1" applyFont="1" applyFill="1" applyBorder="1" applyAlignment="1">
      <alignment/>
    </xf>
    <xf numFmtId="49" fontId="5" fillId="0" borderId="0" xfId="0" applyNumberFormat="1" applyFont="1" applyFill="1" applyBorder="1" applyAlignment="1">
      <alignment horizontal="right"/>
    </xf>
    <xf numFmtId="0" fontId="41" fillId="0" borderId="4" xfId="0" applyFont="1" applyFill="1" applyBorder="1" applyAlignment="1">
      <alignment horizontal="left"/>
    </xf>
    <xf numFmtId="165" fontId="45" fillId="0" borderId="4" xfId="16" applyNumberFormat="1" applyFont="1" applyFill="1" applyBorder="1" applyAlignment="1">
      <alignment/>
    </xf>
    <xf numFmtId="0" fontId="45" fillId="0" borderId="4" xfId="0" applyFont="1" applyFill="1" applyBorder="1" applyAlignment="1">
      <alignment/>
    </xf>
    <xf numFmtId="0" fontId="18" fillId="0" borderId="0" xfId="0" applyFont="1" applyFill="1" applyBorder="1" applyAlignment="1">
      <alignment horizontal="center"/>
    </xf>
    <xf numFmtId="0" fontId="3" fillId="0" borderId="0" xfId="0" applyFont="1" applyFill="1" applyBorder="1" applyAlignment="1">
      <alignment/>
    </xf>
    <xf numFmtId="49" fontId="3" fillId="0" borderId="0" xfId="0" applyNumberFormat="1" applyFont="1" applyFill="1" applyBorder="1" applyAlignment="1">
      <alignment horizontal="center"/>
    </xf>
    <xf numFmtId="0" fontId="18" fillId="0" borderId="0" xfId="0" applyFont="1" applyFill="1" applyBorder="1" applyAlignment="1">
      <alignment/>
    </xf>
    <xf numFmtId="0" fontId="7" fillId="0" borderId="0" xfId="0" applyFont="1" applyFill="1" applyBorder="1" applyAlignment="1">
      <alignment/>
    </xf>
    <xf numFmtId="165" fontId="7" fillId="0" borderId="0" xfId="16" applyNumberFormat="1" applyFont="1" applyFill="1" applyBorder="1" applyAlignment="1">
      <alignment/>
    </xf>
    <xf numFmtId="0" fontId="14" fillId="0" borderId="0" xfId="0"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horizontal="center" vertical="justify"/>
    </xf>
    <xf numFmtId="0" fontId="3" fillId="0" borderId="4" xfId="0" applyFont="1" applyFill="1" applyBorder="1" applyAlignment="1">
      <alignment horizontal="center"/>
    </xf>
    <xf numFmtId="0" fontId="7" fillId="0" borderId="0" xfId="0" applyFont="1" applyFill="1" applyBorder="1" applyAlignment="1">
      <alignment horizontal="center"/>
    </xf>
    <xf numFmtId="0" fontId="3" fillId="0" borderId="0" xfId="0" applyFont="1" applyFill="1" applyBorder="1" applyAlignment="1">
      <alignment horizontal="center" vertical="center" wrapText="1"/>
    </xf>
    <xf numFmtId="165" fontId="3" fillId="0" borderId="0" xfId="16" applyNumberFormat="1" applyFont="1" applyFill="1" applyBorder="1" applyAlignment="1">
      <alignment horizontal="center"/>
    </xf>
    <xf numFmtId="14" fontId="3" fillId="0" borderId="0" xfId="0" applyNumberFormat="1" applyFont="1" applyFill="1" applyBorder="1" applyAlignment="1" quotePrefix="1">
      <alignment horizontal="center"/>
    </xf>
    <xf numFmtId="165" fontId="18" fillId="0" borderId="0" xfId="16" applyNumberFormat="1" applyFont="1" applyFill="1" applyBorder="1" applyAlignment="1">
      <alignment horizontal="center"/>
    </xf>
    <xf numFmtId="165" fontId="3" fillId="0" borderId="0" xfId="16" applyNumberFormat="1" applyFont="1" applyFill="1" applyBorder="1" applyAlignment="1">
      <alignment/>
    </xf>
    <xf numFmtId="165" fontId="14" fillId="0" borderId="0" xfId="16" applyNumberFormat="1" applyFont="1" applyFill="1" applyBorder="1" applyAlignment="1">
      <alignment/>
    </xf>
    <xf numFmtId="0" fontId="37" fillId="0" borderId="0" xfId="0" applyFont="1" applyFill="1" applyBorder="1" applyAlignment="1">
      <alignment horizontal="center"/>
    </xf>
    <xf numFmtId="0" fontId="2" fillId="0" borderId="0" xfId="0" applyFont="1" applyFill="1" applyBorder="1" applyAlignment="1">
      <alignment/>
    </xf>
    <xf numFmtId="165" fontId="2" fillId="0" borderId="0" xfId="16" applyNumberFormat="1" applyFont="1" applyFill="1" applyBorder="1" applyAlignment="1">
      <alignment/>
    </xf>
    <xf numFmtId="0" fontId="0" fillId="0" borderId="0" xfId="0" applyFill="1" applyAlignment="1">
      <alignment/>
    </xf>
    <xf numFmtId="0" fontId="1" fillId="0" borderId="0" xfId="0" applyFont="1" applyFill="1" applyBorder="1" applyAlignment="1" quotePrefix="1">
      <alignment/>
    </xf>
    <xf numFmtId="165" fontId="8" fillId="0" borderId="0" xfId="0" applyNumberFormat="1" applyFont="1" applyFill="1" applyAlignment="1">
      <alignment/>
    </xf>
    <xf numFmtId="165" fontId="0" fillId="0" borderId="0" xfId="0" applyNumberFormat="1" applyFill="1" applyAlignment="1">
      <alignment/>
    </xf>
    <xf numFmtId="165" fontId="9" fillId="0" borderId="0" xfId="0" applyNumberFormat="1" applyFont="1" applyFill="1" applyAlignment="1">
      <alignment/>
    </xf>
    <xf numFmtId="49" fontId="3" fillId="0" borderId="0" xfId="0" applyNumberFormat="1" applyFont="1" applyFill="1" applyAlignment="1">
      <alignment horizontal="center"/>
    </xf>
    <xf numFmtId="43" fontId="1" fillId="0" borderId="0" xfId="16" applyFont="1" applyFill="1" applyAlignment="1">
      <alignment/>
    </xf>
    <xf numFmtId="165" fontId="3" fillId="0" borderId="0" xfId="16" applyNumberFormat="1" applyFont="1" applyFill="1" applyBorder="1" applyAlignment="1">
      <alignment horizontal="right"/>
    </xf>
    <xf numFmtId="49" fontId="1" fillId="0" borderId="0" xfId="0" applyNumberFormat="1" applyFont="1" applyFill="1" applyAlignment="1">
      <alignment horizontal="center"/>
    </xf>
    <xf numFmtId="165" fontId="1" fillId="0" borderId="0" xfId="16" applyNumberFormat="1" applyFont="1" applyFill="1" applyBorder="1" applyAlignment="1">
      <alignment horizontal="right"/>
    </xf>
    <xf numFmtId="0" fontId="3" fillId="0" borderId="0" xfId="0" applyFont="1" applyFill="1" applyBorder="1" applyAlignment="1" quotePrefix="1">
      <alignment/>
    </xf>
    <xf numFmtId="165" fontId="3" fillId="0" borderId="0" xfId="0" applyNumberFormat="1" applyFont="1" applyFill="1" applyBorder="1" applyAlignment="1">
      <alignment/>
    </xf>
    <xf numFmtId="0" fontId="17" fillId="0" borderId="0" xfId="0" applyFont="1" applyFill="1" applyBorder="1" applyAlignment="1">
      <alignment/>
    </xf>
    <xf numFmtId="14" fontId="25" fillId="0" borderId="4" xfId="0" applyNumberFormat="1" applyFont="1" applyFill="1" applyBorder="1" applyAlignment="1">
      <alignment horizontal="right"/>
    </xf>
    <xf numFmtId="165" fontId="17" fillId="0" borderId="0" xfId="16" applyNumberFormat="1" applyFont="1" applyFill="1" applyBorder="1" applyAlignment="1">
      <alignment horizontal="right"/>
    </xf>
    <xf numFmtId="0" fontId="44" fillId="0" borderId="0" xfId="0" applyFont="1" applyFill="1" applyBorder="1" applyAlignment="1">
      <alignment/>
    </xf>
    <xf numFmtId="14" fontId="3" fillId="0" borderId="0" xfId="0" applyNumberFormat="1" applyFont="1" applyFill="1" applyBorder="1" applyAlignment="1" quotePrefix="1">
      <alignment horizontal="right"/>
    </xf>
    <xf numFmtId="14" fontId="3" fillId="0" borderId="4" xfId="0" applyNumberFormat="1" applyFont="1" applyFill="1" applyBorder="1" applyAlignment="1">
      <alignment horizontal="right"/>
    </xf>
    <xf numFmtId="165" fontId="3" fillId="0" borderId="5" xfId="0" applyNumberFormat="1" applyFont="1" applyFill="1" applyBorder="1" applyAlignment="1">
      <alignment/>
    </xf>
    <xf numFmtId="0" fontId="25" fillId="0" borderId="0" xfId="0" applyFont="1" applyFill="1" applyBorder="1" applyAlignment="1" quotePrefix="1">
      <alignment/>
    </xf>
    <xf numFmtId="0" fontId="25" fillId="0" borderId="0" xfId="0" applyFont="1" applyFill="1" applyBorder="1" applyAlignment="1">
      <alignment/>
    </xf>
    <xf numFmtId="0" fontId="50" fillId="0" borderId="0" xfId="0" applyFont="1" applyFill="1" applyBorder="1" applyAlignment="1">
      <alignment/>
    </xf>
    <xf numFmtId="0" fontId="25" fillId="0" borderId="0" xfId="0" applyFont="1" applyFill="1" applyBorder="1" applyAlignment="1">
      <alignment horizontal="right"/>
    </xf>
    <xf numFmtId="0" fontId="26" fillId="0" borderId="0" xfId="0" applyFont="1" applyFill="1" applyBorder="1" applyAlignment="1">
      <alignment/>
    </xf>
    <xf numFmtId="165" fontId="26" fillId="0" borderId="0" xfId="16" applyNumberFormat="1" applyFont="1" applyFill="1" applyBorder="1" applyAlignment="1">
      <alignment/>
    </xf>
    <xf numFmtId="0" fontId="17" fillId="0" borderId="0" xfId="0" applyFont="1" applyFill="1" applyBorder="1" applyAlignment="1">
      <alignment horizontal="right"/>
    </xf>
    <xf numFmtId="165" fontId="17" fillId="0" borderId="0" xfId="18" applyNumberFormat="1" applyFont="1" applyFill="1" applyBorder="1" applyAlignment="1">
      <alignment horizontal="right"/>
    </xf>
    <xf numFmtId="165" fontId="25" fillId="0" borderId="5" xfId="0" applyNumberFormat="1" applyFont="1" applyFill="1" applyBorder="1" applyAlignment="1">
      <alignment/>
    </xf>
    <xf numFmtId="0" fontId="3" fillId="0" borderId="4" xfId="0" applyFont="1" applyFill="1" applyBorder="1" applyAlignment="1">
      <alignment horizontal="right"/>
    </xf>
    <xf numFmtId="165" fontId="1" fillId="0" borderId="0" xfId="18" applyNumberFormat="1" applyFont="1" applyFill="1" applyBorder="1" applyAlignment="1">
      <alignment horizontal="right"/>
    </xf>
    <xf numFmtId="0" fontId="3" fillId="0" borderId="0" xfId="0" applyFont="1" applyFill="1" applyBorder="1" applyAlignment="1" quotePrefix="1">
      <alignment horizontal="center"/>
    </xf>
    <xf numFmtId="0" fontId="6" fillId="0" borderId="0" xfId="0" applyFont="1" applyFill="1" applyBorder="1" applyAlignment="1">
      <alignment/>
    </xf>
    <xf numFmtId="0" fontId="35" fillId="0" borderId="0" xfId="0" applyFont="1" applyFill="1" applyBorder="1" applyAlignment="1">
      <alignment/>
    </xf>
    <xf numFmtId="165" fontId="35" fillId="0" borderId="0" xfId="16" applyNumberFormat="1" applyFont="1" applyFill="1" applyBorder="1" applyAlignment="1">
      <alignment/>
    </xf>
    <xf numFmtId="0" fontId="36" fillId="0" borderId="0" xfId="0" applyFont="1" applyFill="1" applyBorder="1" applyAlignment="1">
      <alignment/>
    </xf>
    <xf numFmtId="0" fontId="4" fillId="0" borderId="0" xfId="0" applyFont="1" applyFill="1" applyBorder="1" applyAlignment="1">
      <alignment/>
    </xf>
    <xf numFmtId="165" fontId="36" fillId="0" borderId="0" xfId="16" applyNumberFormat="1" applyFont="1" applyFill="1" applyBorder="1" applyAlignment="1">
      <alignment/>
    </xf>
    <xf numFmtId="0" fontId="3" fillId="0" borderId="2" xfId="0" applyFont="1" applyFill="1" applyBorder="1" applyAlignment="1">
      <alignment horizontal="center" vertical="center"/>
    </xf>
    <xf numFmtId="0" fontId="1" fillId="0" borderId="9" xfId="0" applyFont="1" applyFill="1" applyBorder="1" applyAlignment="1">
      <alignment/>
    </xf>
    <xf numFmtId="0" fontId="1" fillId="0" borderId="6" xfId="0" applyFont="1" applyFill="1" applyBorder="1" applyAlignment="1">
      <alignment/>
    </xf>
    <xf numFmtId="0" fontId="1" fillId="0" borderId="6" xfId="0" applyFont="1" applyFill="1" applyBorder="1" applyAlignment="1">
      <alignment horizontal="center"/>
    </xf>
    <xf numFmtId="0" fontId="1" fillId="0" borderId="0" xfId="0" applyFont="1" applyFill="1" applyBorder="1" applyAlignment="1">
      <alignment horizontal="left"/>
    </xf>
    <xf numFmtId="0" fontId="0" fillId="0" borderId="6" xfId="0" applyFont="1" applyFill="1" applyBorder="1" applyAlignment="1">
      <alignment/>
    </xf>
    <xf numFmtId="0" fontId="0" fillId="0" borderId="0" xfId="0" applyFont="1" applyFill="1" applyBorder="1" applyAlignment="1">
      <alignment horizontal="center"/>
    </xf>
    <xf numFmtId="0" fontId="1" fillId="0" borderId="0" xfId="0" applyFont="1" applyFill="1" applyBorder="1" applyAlignment="1">
      <alignment horizontal="center"/>
    </xf>
    <xf numFmtId="2" fontId="1" fillId="0" borderId="0" xfId="34" applyNumberFormat="1" applyFont="1" applyFill="1" applyBorder="1" applyAlignment="1">
      <alignment horizontal="center"/>
    </xf>
    <xf numFmtId="0" fontId="1" fillId="0" borderId="10" xfId="0" applyFont="1" applyFill="1" applyBorder="1" applyAlignment="1">
      <alignment horizontal="center"/>
    </xf>
    <xf numFmtId="0" fontId="1" fillId="0" borderId="8" xfId="0" applyFont="1" applyFill="1" applyBorder="1" applyAlignment="1">
      <alignment/>
    </xf>
    <xf numFmtId="0" fontId="1" fillId="0" borderId="4" xfId="0" applyFont="1" applyFill="1" applyBorder="1" applyAlignment="1">
      <alignment horizontal="center" vertical="top"/>
    </xf>
    <xf numFmtId="0" fontId="1" fillId="0" borderId="0" xfId="0" applyFont="1" applyFill="1" applyBorder="1" applyAlignment="1">
      <alignment horizontal="center" vertical="top"/>
    </xf>
    <xf numFmtId="0" fontId="41" fillId="0" borderId="0" xfId="0" applyFont="1" applyBorder="1" applyAlignment="1" quotePrefix="1">
      <alignment horizontal="left" wrapText="1"/>
    </xf>
    <xf numFmtId="0" fontId="2" fillId="0" borderId="0" xfId="0" applyFont="1" applyAlignment="1">
      <alignment/>
    </xf>
    <xf numFmtId="165" fontId="7" fillId="0" borderId="0" xfId="16" applyNumberFormat="1" applyFont="1" applyAlignment="1">
      <alignment horizontal="right"/>
    </xf>
    <xf numFmtId="165" fontId="41" fillId="0" borderId="0" xfId="16" applyNumberFormat="1" applyFont="1" applyBorder="1" applyAlignment="1" quotePrefix="1">
      <alignment horizontal="left" wrapText="1"/>
    </xf>
    <xf numFmtId="165" fontId="4" fillId="0" borderId="0" xfId="16" applyNumberFormat="1" applyFont="1" applyAlignment="1">
      <alignment horizontal="left"/>
    </xf>
    <xf numFmtId="165" fontId="4" fillId="0" borderId="0" xfId="16" applyNumberFormat="1" applyFont="1" applyAlignment="1">
      <alignment horizontal="right"/>
    </xf>
    <xf numFmtId="176" fontId="1" fillId="0" borderId="0" xfId="0" applyNumberFormat="1" applyFont="1" applyAlignment="1">
      <alignment/>
    </xf>
    <xf numFmtId="165" fontId="0" fillId="0" borderId="0" xfId="0" applyNumberFormat="1" applyAlignment="1">
      <alignment/>
    </xf>
    <xf numFmtId="38" fontId="48" fillId="0" borderId="0" xfId="16" applyNumberFormat="1" applyFont="1" applyBorder="1" applyAlignment="1">
      <alignment horizontal="center"/>
    </xf>
    <xf numFmtId="0" fontId="14" fillId="0" borderId="0" xfId="0" applyFont="1" applyBorder="1" applyAlignment="1">
      <alignment horizontal="left" wrapText="1"/>
    </xf>
    <xf numFmtId="49" fontId="14" fillId="0" borderId="0" xfId="0" applyNumberFormat="1" applyFont="1" applyBorder="1" applyAlignment="1">
      <alignment horizontal="center" wrapText="1"/>
    </xf>
    <xf numFmtId="165" fontId="2" fillId="0" borderId="0" xfId="16" applyNumberFormat="1" applyFont="1" applyBorder="1" applyAlignment="1">
      <alignment horizontal="right"/>
    </xf>
    <xf numFmtId="43" fontId="2" fillId="0" borderId="0" xfId="0" applyNumberFormat="1" applyFont="1" applyAlignment="1">
      <alignment/>
    </xf>
    <xf numFmtId="0" fontId="2" fillId="0" borderId="0" xfId="0" applyFont="1" applyAlignment="1">
      <alignment/>
    </xf>
    <xf numFmtId="0" fontId="41" fillId="0" borderId="0" xfId="0" applyFont="1" applyBorder="1" applyAlignment="1">
      <alignment horizontal="left" wrapText="1"/>
    </xf>
    <xf numFmtId="0" fontId="45" fillId="0" borderId="0" xfId="0" applyFont="1" applyAlignment="1">
      <alignment horizontal="left" wrapText="1"/>
    </xf>
    <xf numFmtId="165" fontId="2" fillId="0" borderId="0" xfId="18" applyNumberFormat="1" applyFont="1" applyBorder="1" applyAlignment="1">
      <alignment horizontal="right"/>
    </xf>
    <xf numFmtId="0" fontId="0" fillId="0" borderId="0" xfId="0" applyFont="1" applyFill="1" applyAlignment="1">
      <alignment horizontal="center"/>
    </xf>
    <xf numFmtId="165" fontId="0" fillId="0" borderId="0" xfId="0" applyNumberFormat="1" applyFont="1" applyFill="1" applyAlignment="1">
      <alignment horizontal="center"/>
    </xf>
    <xf numFmtId="0" fontId="29" fillId="0" borderId="0" xfId="0" applyFont="1" applyFill="1" applyAlignment="1">
      <alignment horizontal="center"/>
    </xf>
    <xf numFmtId="0" fontId="47" fillId="0" borderId="0" xfId="0" applyFont="1" applyFill="1" applyAlignment="1">
      <alignment horizontal="center"/>
    </xf>
    <xf numFmtId="0" fontId="1" fillId="2" borderId="0" xfId="0" applyFont="1" applyFill="1" applyAlignment="1">
      <alignment/>
    </xf>
    <xf numFmtId="165" fontId="1" fillId="2" borderId="0" xfId="16" applyNumberFormat="1" applyFont="1" applyFill="1" applyAlignment="1">
      <alignment/>
    </xf>
    <xf numFmtId="165" fontId="33" fillId="0" borderId="0" xfId="16" applyNumberFormat="1" applyFont="1" applyBorder="1" applyAlignment="1">
      <alignment horizontal="right"/>
    </xf>
    <xf numFmtId="165" fontId="34" fillId="0" borderId="0" xfId="16" applyNumberFormat="1" applyFont="1" applyBorder="1" applyAlignment="1">
      <alignment horizontal="right"/>
    </xf>
    <xf numFmtId="165" fontId="17" fillId="0" borderId="0" xfId="16" applyNumberFormat="1" applyFont="1" applyBorder="1" applyAlignment="1">
      <alignment horizontal="right" indent="1"/>
    </xf>
    <xf numFmtId="0" fontId="53" fillId="0" borderId="0" xfId="0" applyFont="1" applyFill="1" applyBorder="1" applyAlignment="1">
      <alignment horizontal="right"/>
    </xf>
    <xf numFmtId="0" fontId="5" fillId="0" borderId="0" xfId="0" applyFont="1" applyFill="1" applyBorder="1" applyAlignment="1">
      <alignment horizontal="right"/>
    </xf>
    <xf numFmtId="0" fontId="54" fillId="0" borderId="0" xfId="0" applyFont="1" applyFill="1" applyAlignment="1">
      <alignment horizontal="centerContinuous"/>
    </xf>
    <xf numFmtId="0" fontId="32" fillId="0" borderId="0" xfId="0" applyFont="1" applyFill="1" applyAlignment="1">
      <alignment horizontal="centerContinuous"/>
    </xf>
    <xf numFmtId="0" fontId="26" fillId="0" borderId="0" xfId="0" applyFont="1" applyFill="1" applyAlignment="1">
      <alignment/>
    </xf>
    <xf numFmtId="3" fontId="1" fillId="0" borderId="0" xfId="0" applyNumberFormat="1" applyFont="1" applyFill="1" applyBorder="1" applyAlignment="1">
      <alignment/>
    </xf>
    <xf numFmtId="3" fontId="1" fillId="0" borderId="0" xfId="17" applyNumberFormat="1" applyFont="1" applyFill="1" applyAlignment="1">
      <alignment horizontal="right"/>
    </xf>
    <xf numFmtId="14" fontId="3" fillId="0" borderId="0" xfId="0" applyNumberFormat="1" applyFont="1" applyFill="1" applyBorder="1" applyAlignment="1">
      <alignment horizontal="right"/>
    </xf>
    <xf numFmtId="165" fontId="14" fillId="0" borderId="0" xfId="0" applyNumberFormat="1" applyFont="1" applyFill="1" applyBorder="1" applyAlignment="1">
      <alignment/>
    </xf>
    <xf numFmtId="3" fontId="14" fillId="0" borderId="0" xfId="17" applyNumberFormat="1" applyFont="1" applyFill="1" applyBorder="1" applyAlignment="1">
      <alignment horizontal="right"/>
    </xf>
    <xf numFmtId="3" fontId="14" fillId="0" borderId="0" xfId="17" applyNumberFormat="1" applyFont="1" applyFill="1" applyAlignment="1">
      <alignment horizontal="right"/>
    </xf>
    <xf numFmtId="3" fontId="2" fillId="0" borderId="0" xfId="17" applyNumberFormat="1" applyFont="1" applyFill="1" applyAlignment="1">
      <alignment horizontal="right"/>
    </xf>
    <xf numFmtId="165" fontId="30" fillId="0" borderId="0" xfId="0" applyNumberFormat="1" applyFont="1" applyFill="1" applyBorder="1" applyAlignment="1">
      <alignment/>
    </xf>
    <xf numFmtId="165" fontId="1" fillId="0" borderId="0" xfId="0" applyNumberFormat="1" applyFont="1" applyFill="1" applyBorder="1" applyAlignment="1">
      <alignment horizontal="right"/>
    </xf>
    <xf numFmtId="165" fontId="2" fillId="0" borderId="0" xfId="18" applyNumberFormat="1" applyFont="1" applyFill="1" applyBorder="1" applyAlignment="1">
      <alignment horizontal="right"/>
    </xf>
    <xf numFmtId="14" fontId="30" fillId="0" borderId="0" xfId="0" applyNumberFormat="1" applyFont="1" applyFill="1" applyBorder="1" applyAlignment="1">
      <alignment horizontal="right"/>
    </xf>
    <xf numFmtId="165" fontId="3" fillId="0" borderId="4" xfId="16" applyNumberFormat="1" applyFont="1" applyFill="1" applyBorder="1" applyAlignment="1">
      <alignment horizontal="right"/>
    </xf>
    <xf numFmtId="165" fontId="30" fillId="0" borderId="0" xfId="16" applyNumberFormat="1" applyFont="1" applyFill="1" applyBorder="1" applyAlignment="1">
      <alignment/>
    </xf>
    <xf numFmtId="165" fontId="1" fillId="0" borderId="0" xfId="18"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Border="1" applyAlignment="1">
      <alignment/>
    </xf>
    <xf numFmtId="165" fontId="45" fillId="0" borderId="0" xfId="16" applyNumberFormat="1" applyFont="1" applyFill="1" applyAlignment="1">
      <alignment horizontal="right" wrapText="1"/>
    </xf>
    <xf numFmtId="3" fontId="30" fillId="0" borderId="0" xfId="0" applyNumberFormat="1" applyFont="1" applyFill="1" applyBorder="1" applyAlignment="1">
      <alignment/>
    </xf>
    <xf numFmtId="165" fontId="53" fillId="0" borderId="0" xfId="18" applyNumberFormat="1" applyFont="1" applyFill="1" applyBorder="1" applyAlignment="1">
      <alignment/>
    </xf>
    <xf numFmtId="165" fontId="30" fillId="0" borderId="0" xfId="18" applyNumberFormat="1" applyFont="1" applyFill="1" applyBorder="1" applyAlignment="1">
      <alignment/>
    </xf>
    <xf numFmtId="0" fontId="55" fillId="0" borderId="0" xfId="0" applyFont="1" applyFill="1" applyBorder="1" applyAlignment="1">
      <alignment/>
    </xf>
    <xf numFmtId="2" fontId="26" fillId="0" borderId="0" xfId="34" applyNumberFormat="1" applyFont="1" applyFill="1" applyBorder="1" applyAlignment="1">
      <alignment horizontal="center"/>
    </xf>
    <xf numFmtId="10" fontId="26" fillId="0" borderId="0" xfId="34" applyNumberFormat="1" applyFont="1" applyFill="1" applyBorder="1" applyAlignment="1">
      <alignment horizontal="center"/>
    </xf>
    <xf numFmtId="0" fontId="26" fillId="0" borderId="0" xfId="0" applyFont="1" applyFill="1" applyBorder="1" applyAlignment="1">
      <alignment horizontal="center"/>
    </xf>
    <xf numFmtId="0" fontId="49" fillId="0" borderId="0" xfId="0" applyFont="1" applyFill="1" applyAlignment="1">
      <alignment horizontal="left" wrapText="1"/>
    </xf>
    <xf numFmtId="0" fontId="26" fillId="0" borderId="0" xfId="0" applyFont="1" applyFill="1" applyBorder="1" applyAlignment="1">
      <alignment horizontal="centerContinuous"/>
    </xf>
    <xf numFmtId="0" fontId="30" fillId="0" borderId="0" xfId="0" applyFont="1" applyFill="1" applyBorder="1" applyAlignment="1">
      <alignment horizontal="centerContinuous"/>
    </xf>
    <xf numFmtId="165" fontId="25" fillId="0" borderId="0" xfId="16" applyNumberFormat="1" applyFont="1" applyFill="1" applyBorder="1" applyAlignment="1">
      <alignment horizontal="right"/>
    </xf>
    <xf numFmtId="43" fontId="17" fillId="0" borderId="0" xfId="16" applyFont="1" applyFill="1" applyAlignment="1">
      <alignment horizontal="right"/>
    </xf>
    <xf numFmtId="165" fontId="25" fillId="0" borderId="5" xfId="16" applyNumberFormat="1" applyFont="1" applyFill="1" applyBorder="1" applyAlignment="1">
      <alignment/>
    </xf>
    <xf numFmtId="0" fontId="56" fillId="0" borderId="0" xfId="0" applyFont="1" applyFill="1" applyAlignment="1">
      <alignment/>
    </xf>
    <xf numFmtId="0" fontId="56" fillId="0" borderId="0" xfId="0" applyFont="1" applyFill="1" applyBorder="1" applyAlignment="1">
      <alignment/>
    </xf>
    <xf numFmtId="0" fontId="56" fillId="0" borderId="4" xfId="0" applyFont="1" applyFill="1" applyBorder="1" applyAlignment="1">
      <alignment/>
    </xf>
    <xf numFmtId="0" fontId="17" fillId="0" borderId="0" xfId="0" applyFont="1" applyFill="1" applyAlignment="1">
      <alignment/>
    </xf>
    <xf numFmtId="165" fontId="25" fillId="0" borderId="0" xfId="16" applyNumberFormat="1" applyFont="1" applyFill="1" applyAlignment="1">
      <alignment horizontal="right"/>
    </xf>
    <xf numFmtId="165" fontId="17" fillId="0" borderId="0" xfId="16" applyNumberFormat="1" applyFont="1" applyFill="1" applyAlignment="1">
      <alignment horizontal="right"/>
    </xf>
    <xf numFmtId="165" fontId="25" fillId="0" borderId="0" xfId="16" applyNumberFormat="1" applyFont="1" applyFill="1" applyAlignment="1">
      <alignment/>
    </xf>
    <xf numFmtId="165" fontId="25" fillId="0" borderId="5" xfId="16" applyNumberFormat="1" applyFont="1" applyFill="1" applyBorder="1" applyAlignment="1">
      <alignment horizontal="right"/>
    </xf>
    <xf numFmtId="0" fontId="17" fillId="0" borderId="0" xfId="0" applyFont="1" applyFill="1" applyAlignment="1">
      <alignment horizontal="center"/>
    </xf>
    <xf numFmtId="165" fontId="17" fillId="0" borderId="0" xfId="16" applyNumberFormat="1" applyFont="1" applyFill="1" applyAlignment="1">
      <alignment/>
    </xf>
    <xf numFmtId="165" fontId="57" fillId="0" borderId="0" xfId="16" applyNumberFormat="1" applyFont="1" applyFill="1" applyAlignment="1">
      <alignment/>
    </xf>
    <xf numFmtId="165" fontId="58" fillId="0" borderId="0" xfId="16" applyNumberFormat="1" applyFont="1" applyFill="1" applyAlignment="1">
      <alignment/>
    </xf>
    <xf numFmtId="165" fontId="57" fillId="0" borderId="0" xfId="0" applyNumberFormat="1" applyFont="1" applyFill="1" applyAlignment="1">
      <alignment horizontal="center"/>
    </xf>
    <xf numFmtId="0" fontId="17" fillId="0" borderId="0" xfId="0" applyFont="1" applyFill="1" applyAlignment="1">
      <alignment wrapText="1"/>
    </xf>
    <xf numFmtId="165" fontId="2" fillId="0" borderId="0" xfId="16" applyNumberFormat="1" applyFont="1" applyAlignment="1">
      <alignment/>
    </xf>
    <xf numFmtId="165" fontId="2" fillId="0" borderId="0" xfId="16" applyNumberFormat="1" applyFont="1" applyAlignment="1">
      <alignment/>
    </xf>
    <xf numFmtId="165" fontId="44" fillId="0" borderId="0" xfId="16" applyNumberFormat="1" applyFont="1" applyAlignment="1">
      <alignment/>
    </xf>
    <xf numFmtId="0" fontId="31" fillId="0" borderId="0" xfId="0" applyFont="1" applyFill="1" applyAlignment="1">
      <alignment horizontal="center"/>
    </xf>
    <xf numFmtId="165" fontId="59" fillId="2" borderId="0" xfId="16" applyNumberFormat="1" applyFont="1" applyFill="1" applyAlignment="1">
      <alignment/>
    </xf>
    <xf numFmtId="165" fontId="8" fillId="0" borderId="0" xfId="0" applyNumberFormat="1" applyFont="1" applyFill="1" applyAlignment="1">
      <alignment horizontal="center"/>
    </xf>
    <xf numFmtId="165" fontId="1" fillId="0" borderId="0" xfId="16" applyNumberFormat="1" applyFont="1" applyBorder="1" applyAlignment="1">
      <alignment/>
    </xf>
    <xf numFmtId="165" fontId="31" fillId="0" borderId="0" xfId="0" applyNumberFormat="1" applyFont="1" applyFill="1" applyAlignment="1">
      <alignment/>
    </xf>
    <xf numFmtId="3" fontId="45" fillId="0" borderId="0" xfId="0" applyNumberFormat="1" applyFont="1" applyAlignment="1">
      <alignment horizontal="left" wrapText="1"/>
    </xf>
    <xf numFmtId="37" fontId="1" fillId="0" borderId="0" xfId="16" applyNumberFormat="1" applyFont="1" applyBorder="1" applyAlignment="1">
      <alignment/>
    </xf>
    <xf numFmtId="37" fontId="3" fillId="0" borderId="0" xfId="16" applyNumberFormat="1" applyFont="1" applyBorder="1" applyAlignment="1">
      <alignment/>
    </xf>
    <xf numFmtId="37" fontId="26" fillId="0" borderId="0" xfId="0" applyNumberFormat="1" applyFont="1" applyFill="1" applyBorder="1" applyAlignment="1">
      <alignment/>
    </xf>
    <xf numFmtId="37" fontId="1" fillId="0" borderId="0" xfId="16" applyNumberFormat="1" applyFont="1" applyFill="1" applyBorder="1" applyAlignment="1">
      <alignment/>
    </xf>
    <xf numFmtId="37" fontId="30" fillId="0" borderId="0" xfId="16" applyNumberFormat="1" applyFont="1" applyFill="1" applyBorder="1" applyAlignment="1">
      <alignment/>
    </xf>
    <xf numFmtId="37" fontId="26" fillId="0" borderId="0" xfId="16" applyNumberFormat="1" applyFont="1" applyFill="1" applyBorder="1" applyAlignment="1">
      <alignment/>
    </xf>
    <xf numFmtId="172" fontId="45" fillId="0" borderId="0" xfId="16" applyNumberFormat="1" applyFont="1" applyBorder="1" applyAlignment="1" quotePrefix="1">
      <alignment horizontal="center"/>
    </xf>
    <xf numFmtId="165" fontId="1" fillId="0" borderId="0" xfId="16" applyNumberFormat="1" applyFont="1" applyFill="1" applyBorder="1" applyAlignment="1">
      <alignment horizontal="right"/>
    </xf>
    <xf numFmtId="165" fontId="0" fillId="0" borderId="0" xfId="16" applyNumberFormat="1" applyFont="1" applyFill="1" applyAlignment="1">
      <alignment horizontal="center"/>
    </xf>
    <xf numFmtId="165" fontId="3" fillId="0" borderId="0" xfId="16" applyNumberFormat="1" applyFont="1" applyAlignment="1">
      <alignment horizontal="center"/>
    </xf>
    <xf numFmtId="165" fontId="17" fillId="0" borderId="0" xfId="0" applyNumberFormat="1" applyFont="1" applyFill="1" applyAlignment="1">
      <alignment wrapText="1"/>
    </xf>
    <xf numFmtId="3" fontId="25" fillId="0" borderId="0" xfId="17" applyNumberFormat="1" applyFont="1" applyAlignment="1">
      <alignment horizontal="right"/>
    </xf>
    <xf numFmtId="43" fontId="1" fillId="0" borderId="0" xfId="16" applyFont="1" applyFill="1" applyAlignment="1">
      <alignment horizontal="right"/>
    </xf>
    <xf numFmtId="3" fontId="44" fillId="0" borderId="0" xfId="0" applyNumberFormat="1" applyFont="1" applyAlignment="1">
      <alignment horizontal="left" wrapText="1"/>
    </xf>
    <xf numFmtId="165" fontId="25" fillId="0" borderId="0" xfId="16" applyNumberFormat="1" applyFont="1" applyFill="1" applyBorder="1" applyAlignment="1">
      <alignment/>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Border="1" applyAlignment="1" quotePrefix="1">
      <alignment horizontal="right" vertical="center"/>
    </xf>
    <xf numFmtId="165" fontId="0" fillId="0" borderId="0" xfId="0" applyNumberFormat="1" applyFont="1" applyFill="1" applyAlignment="1">
      <alignment horizontal="center"/>
    </xf>
    <xf numFmtId="0" fontId="44" fillId="0" borderId="0" xfId="0" applyFont="1" applyAlignment="1">
      <alignment horizontal="center"/>
    </xf>
    <xf numFmtId="0" fontId="41" fillId="0" borderId="0" xfId="0" applyFont="1" applyBorder="1" applyAlignment="1" quotePrefix="1">
      <alignment horizontal="left" wrapText="1"/>
    </xf>
    <xf numFmtId="0" fontId="3" fillId="0" borderId="0" xfId="0" applyFont="1" applyAlignment="1">
      <alignment horizontal="center"/>
    </xf>
    <xf numFmtId="0" fontId="4" fillId="0" borderId="0" xfId="0" applyFont="1" applyBorder="1" applyAlignment="1">
      <alignment horizontal="left" vertical="center"/>
    </xf>
    <xf numFmtId="0" fontId="0" fillId="0" borderId="4" xfId="0" applyBorder="1" applyAlignment="1">
      <alignment/>
    </xf>
    <xf numFmtId="0" fontId="4" fillId="0" borderId="4" xfId="0" applyFont="1" applyFill="1" applyBorder="1" applyAlignment="1">
      <alignment horizontal="left" vertical="center" wrapText="1"/>
    </xf>
    <xf numFmtId="0" fontId="44" fillId="0" borderId="0" xfId="0" applyFont="1" applyFill="1" applyAlignment="1">
      <alignment horizontal="center" wrapText="1"/>
    </xf>
    <xf numFmtId="0" fontId="3" fillId="0" borderId="0" xfId="0" applyFont="1" applyFill="1" applyAlignment="1">
      <alignment horizontal="center" wrapText="1"/>
    </xf>
    <xf numFmtId="14" fontId="3" fillId="0" borderId="0" xfId="0" applyNumberFormat="1" applyFont="1" applyFill="1" applyBorder="1" applyAlignment="1" quotePrefix="1">
      <alignment horizontal="right" vertical="center"/>
    </xf>
    <xf numFmtId="14" fontId="3" fillId="0" borderId="4" xfId="0" applyNumberFormat="1" applyFont="1" applyFill="1" applyBorder="1" applyAlignment="1" quotePrefix="1">
      <alignment horizontal="right" vertical="center"/>
    </xf>
    <xf numFmtId="0" fontId="46" fillId="0" borderId="0" xfId="0" applyFont="1" applyFill="1" applyAlignment="1">
      <alignment horizontal="right"/>
    </xf>
    <xf numFmtId="165" fontId="3" fillId="0" borderId="0" xfId="0" applyNumberFormat="1" applyFont="1" applyFill="1" applyAlignment="1">
      <alignment horizontal="center" wrapText="1"/>
    </xf>
    <xf numFmtId="165" fontId="44" fillId="0" borderId="0" xfId="0" applyNumberFormat="1" applyFont="1" applyFill="1" applyAlignment="1">
      <alignment horizontal="center" wrapText="1"/>
    </xf>
    <xf numFmtId="165" fontId="2" fillId="0" borderId="0" xfId="16" applyNumberFormat="1" applyFont="1" applyFill="1" applyAlignment="1">
      <alignment horizontal="center"/>
    </xf>
    <xf numFmtId="0" fontId="0" fillId="0" borderId="0" xfId="0" applyFont="1" applyFill="1" applyAlignment="1">
      <alignment horizontal="center"/>
    </xf>
    <xf numFmtId="0" fontId="18" fillId="0" borderId="11" xfId="0" applyFont="1" applyFill="1" applyBorder="1" applyAlignment="1">
      <alignment horizontal="center"/>
    </xf>
    <xf numFmtId="165" fontId="60" fillId="0" borderId="0" xfId="0" applyNumberFormat="1" applyFont="1" applyFill="1" applyAlignment="1">
      <alignment horizontal="center"/>
    </xf>
    <xf numFmtId="165" fontId="3" fillId="0" borderId="0" xfId="0" applyNumberFormat="1" applyFont="1" applyFill="1" applyAlignment="1">
      <alignment horizontal="center"/>
    </xf>
    <xf numFmtId="165" fontId="3" fillId="0" borderId="0" xfId="0" applyNumberFormat="1" applyFont="1" applyFill="1" applyAlignment="1" quotePrefix="1">
      <alignment horizontal="center"/>
    </xf>
    <xf numFmtId="166" fontId="3" fillId="0" borderId="0" xfId="0" applyNumberFormat="1" applyFont="1" applyFill="1" applyBorder="1" applyAlignment="1" quotePrefix="1">
      <alignment horizontal="right" vertical="center"/>
    </xf>
    <xf numFmtId="166" fontId="3" fillId="0" borderId="4" xfId="0" applyNumberFormat="1" applyFont="1" applyFill="1" applyBorder="1" applyAlignment="1" quotePrefix="1">
      <alignment horizontal="righ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165" fontId="25" fillId="0" borderId="0" xfId="0" applyNumberFormat="1" applyFont="1" applyFill="1" applyBorder="1" applyAlignment="1">
      <alignment horizontal="right" vertical="center"/>
    </xf>
    <xf numFmtId="165" fontId="25" fillId="0" borderId="4" xfId="0" applyNumberFormat="1" applyFont="1" applyFill="1" applyBorder="1" applyAlignment="1" quotePrefix="1">
      <alignment horizontal="right" vertical="center"/>
    </xf>
    <xf numFmtId="165" fontId="42" fillId="0" borderId="0" xfId="0" applyNumberFormat="1" applyFont="1" applyFill="1" applyAlignment="1" quotePrefix="1">
      <alignment horizontal="right"/>
    </xf>
    <xf numFmtId="165" fontId="16" fillId="0" borderId="0" xfId="0" applyNumberFormat="1" applyFont="1" applyFill="1" applyAlignment="1">
      <alignment horizontal="center"/>
    </xf>
    <xf numFmtId="165" fontId="1" fillId="0" borderId="0" xfId="0" applyNumberFormat="1" applyFont="1" applyFill="1" applyAlignment="1" quotePrefix="1">
      <alignment horizontal="center"/>
    </xf>
    <xf numFmtId="165" fontId="2" fillId="0" borderId="0" xfId="0" applyNumberFormat="1" applyFont="1" applyFill="1" applyAlignment="1">
      <alignment horizontal="center"/>
    </xf>
    <xf numFmtId="0" fontId="4" fillId="0" borderId="0" xfId="0" applyFont="1" applyFill="1" applyBorder="1" applyAlignment="1">
      <alignment horizontal="left" vertical="center" wrapText="1"/>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16" fillId="0" borderId="0" xfId="0" applyFont="1" applyAlignment="1">
      <alignment horizontal="center"/>
    </xf>
    <xf numFmtId="0" fontId="2" fillId="0" borderId="0" xfId="0" applyFont="1" applyBorder="1" applyAlignment="1">
      <alignment horizontal="right" wrapText="1"/>
    </xf>
    <xf numFmtId="0" fontId="39" fillId="0" borderId="0" xfId="0" applyFont="1" applyAlignment="1">
      <alignment horizontal="right"/>
    </xf>
    <xf numFmtId="165" fontId="3" fillId="0" borderId="0" xfId="16" applyNumberFormat="1" applyFont="1" applyAlignment="1">
      <alignment horizont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1" fillId="0" borderId="10" xfId="0" applyFont="1" applyFill="1" applyBorder="1" applyAlignment="1">
      <alignment horizontal="left" wrapText="1"/>
    </xf>
    <xf numFmtId="0" fontId="1" fillId="0" borderId="0" xfId="0" applyFont="1" applyFill="1" applyBorder="1" applyAlignment="1">
      <alignment horizontal="left" wrapText="1"/>
    </xf>
    <xf numFmtId="2" fontId="1" fillId="0" borderId="12" xfId="34" applyNumberFormat="1" applyFont="1" applyFill="1" applyBorder="1" applyAlignment="1">
      <alignment horizontal="center" vertical="top"/>
    </xf>
    <xf numFmtId="2" fontId="1" fillId="0" borderId="12" xfId="34" applyNumberFormat="1" applyFont="1" applyBorder="1" applyAlignment="1">
      <alignment horizontal="center"/>
    </xf>
    <xf numFmtId="0" fontId="1" fillId="0" borderId="12" xfId="0" applyFont="1" applyFill="1" applyBorder="1" applyAlignment="1">
      <alignment horizontal="center" vertical="top"/>
    </xf>
    <xf numFmtId="0" fontId="8" fillId="0" borderId="0" xfId="0" applyFont="1" applyAlignment="1">
      <alignment horizontal="center"/>
    </xf>
    <xf numFmtId="0" fontId="1" fillId="0" borderId="10" xfId="0" applyFont="1" applyFill="1" applyBorder="1" applyAlignment="1">
      <alignment horizontal="left"/>
    </xf>
    <xf numFmtId="0" fontId="1" fillId="0" borderId="0" xfId="0" applyFont="1" applyFill="1" applyBorder="1" applyAlignment="1">
      <alignment horizontal="left"/>
    </xf>
    <xf numFmtId="2" fontId="1" fillId="0" borderId="12" xfId="34" applyNumberFormat="1" applyFont="1" applyFill="1" applyBorder="1" applyAlignment="1">
      <alignment horizontal="center"/>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left"/>
    </xf>
    <xf numFmtId="0" fontId="3" fillId="0" borderId="11" xfId="0" applyFont="1" applyFill="1" applyBorder="1" applyAlignment="1">
      <alignment horizontal="left"/>
    </xf>
    <xf numFmtId="0" fontId="1" fillId="0" borderId="12" xfId="0" applyFont="1" applyFill="1" applyBorder="1" applyAlignment="1">
      <alignment horizontal="center"/>
    </xf>
    <xf numFmtId="3" fontId="44" fillId="0" borderId="0" xfId="0" applyNumberFormat="1" applyFont="1" applyAlignment="1">
      <alignment horizontal="left" wrapText="1"/>
    </xf>
    <xf numFmtId="0" fontId="3" fillId="0" borderId="2" xfId="0" applyFont="1" applyFill="1" applyBorder="1" applyAlignment="1">
      <alignment horizontal="center" vertical="center"/>
    </xf>
    <xf numFmtId="0" fontId="3" fillId="0" borderId="10" xfId="0" applyFont="1" applyFill="1" applyBorder="1" applyAlignment="1">
      <alignment horizontal="left"/>
    </xf>
    <xf numFmtId="0" fontId="3" fillId="0" borderId="0" xfId="0" applyFont="1" applyFill="1" applyBorder="1" applyAlignment="1">
      <alignment horizontal="left"/>
    </xf>
    <xf numFmtId="0" fontId="1" fillId="0" borderId="7" xfId="0" applyFont="1" applyFill="1" applyBorder="1" applyAlignment="1">
      <alignment horizontal="left" wrapText="1"/>
    </xf>
    <xf numFmtId="0" fontId="1" fillId="0" borderId="4" xfId="0" applyFont="1" applyFill="1" applyBorder="1" applyAlignment="1">
      <alignment horizontal="left" wrapText="1"/>
    </xf>
    <xf numFmtId="2" fontId="1" fillId="0" borderId="15" xfId="34" applyNumberFormat="1" applyFont="1" applyFill="1" applyBorder="1" applyAlignment="1">
      <alignment horizontal="center" vertical="top"/>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6"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45" fillId="0" borderId="0" xfId="0" applyFont="1" applyAlignment="1">
      <alignment horizontal="left" wrapText="1"/>
    </xf>
    <xf numFmtId="2" fontId="1" fillId="0" borderId="15" xfId="34" applyNumberFormat="1" applyFont="1" applyBorder="1" applyAlignment="1">
      <alignment horizontal="center"/>
    </xf>
    <xf numFmtId="3" fontId="45" fillId="0" borderId="0" xfId="0" applyNumberFormat="1" applyFont="1" applyAlignment="1">
      <alignment horizontal="left" wrapText="1"/>
    </xf>
    <xf numFmtId="3" fontId="44" fillId="0" borderId="4" xfId="0" applyNumberFormat="1" applyFont="1" applyBorder="1" applyAlignment="1">
      <alignment horizontal="center" wrapText="1"/>
    </xf>
    <xf numFmtId="3" fontId="45" fillId="0" borderId="0" xfId="0" applyNumberFormat="1" applyFont="1" applyAlignment="1">
      <alignment horizontal="center" wrapText="1"/>
    </xf>
    <xf numFmtId="0" fontId="44" fillId="0" borderId="0" xfId="0" applyFont="1" applyFill="1" applyAlignment="1">
      <alignment horizontal="right" wrapText="1"/>
    </xf>
    <xf numFmtId="0" fontId="3" fillId="0" borderId="0" xfId="0" applyFont="1" applyBorder="1" applyAlignment="1">
      <alignment horizontal="center"/>
    </xf>
    <xf numFmtId="0" fontId="16"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0" fillId="0" borderId="4" xfId="0" applyFill="1" applyBorder="1" applyAlignment="1">
      <alignment horizontal="center" vertical="center"/>
    </xf>
    <xf numFmtId="165" fontId="2" fillId="0" borderId="0" xfId="16" applyNumberFormat="1" applyFont="1" applyFill="1" applyBorder="1" applyAlignment="1">
      <alignment horizontal="right"/>
    </xf>
    <xf numFmtId="0" fontId="16"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38" fontId="44" fillId="0" borderId="0" xfId="32" applyNumberFormat="1" applyFont="1" applyFill="1" applyBorder="1" applyAlignment="1">
      <alignment horizontal="center" vertical="center" wrapText="1"/>
      <protection/>
    </xf>
    <xf numFmtId="0" fontId="45" fillId="0" borderId="4" xfId="0" applyFont="1" applyFill="1" applyBorder="1" applyAlignment="1">
      <alignment horizontal="center" vertical="center" wrapText="1"/>
    </xf>
    <xf numFmtId="38" fontId="44" fillId="0" borderId="4" xfId="32" applyNumberFormat="1" applyFont="1" applyFill="1" applyBorder="1" applyAlignment="1">
      <alignment horizontal="center" vertical="center" wrapText="1"/>
      <protection/>
    </xf>
  </cellXfs>
  <cellStyles count="34">
    <cellStyle name="Normal" xfId="0"/>
    <cellStyle name="??_kc-elec system check list" xfId="15"/>
    <cellStyle name="Comma" xfId="16"/>
    <cellStyle name="Comma [0]" xfId="17"/>
    <cellStyle name="Comma_7 - JGG" xfId="18"/>
    <cellStyle name="Comma0" xfId="19"/>
    <cellStyle name="Currency" xfId="20"/>
    <cellStyle name="Currency [0]" xfId="21"/>
    <cellStyle name="Currency0" xfId="22"/>
    <cellStyle name="Date" xfId="23"/>
    <cellStyle name="Fixed" xfId="24"/>
    <cellStyle name="Followed Hyperlink" xfId="25"/>
    <cellStyle name="Header1" xfId="26"/>
    <cellStyle name="Header2" xfId="27"/>
    <cellStyle name="Heading 1" xfId="28"/>
    <cellStyle name="Heading 2" xfId="29"/>
    <cellStyle name="Hyperlink" xfId="30"/>
    <cellStyle name="Normal_Bao cao tai chinh 280405" xfId="31"/>
    <cellStyle name="Normal_BCao" xfId="32"/>
    <cellStyle name="Normal_Thuyet minh TSCD" xfId="33"/>
    <cellStyle name="Percent" xfId="34"/>
    <cellStyle name="Total" xfId="35"/>
    <cellStyle name="똿뗦먛귟 [0.00]_PRODUCT DETAIL Q1" xfId="36"/>
    <cellStyle name="똿뗦먛귟_PRODUCT DETAIL Q1" xfId="37"/>
    <cellStyle name="믅됞 [0.00]_PRODUCT DETAIL Q1" xfId="38"/>
    <cellStyle name="믅됞_PRODUCT DETAIL Q1" xfId="39"/>
    <cellStyle name="백분율_HOBONG" xfId="40"/>
    <cellStyle name="뷭?_BOOKSHIP" xfId="41"/>
    <cellStyle name="콤마 [0]_1202" xfId="42"/>
    <cellStyle name="콤마_1202" xfId="43"/>
    <cellStyle name="통화 [0]_1202" xfId="44"/>
    <cellStyle name="통화_1202" xfId="45"/>
    <cellStyle name="표준_(정보부문)월별인원계획" xfId="46"/>
    <cellStyle name="표준_kc-elec system check list" xfId="47"/>
  </cellStyles>
  <dxfs count="2">
    <dxf>
      <fill>
        <patternFill>
          <bgColor rgb="FF9999FF"/>
        </patternFill>
      </fill>
      <border/>
    </dxf>
    <dxf>
      <font>
        <u val="none"/>
        <strike val="0"/>
      </font>
      <fill>
        <patternFill>
          <bgColor rgb="FF3366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y4\c\Documents%20and%20Settings\Nguyen%20Van%20Xuan\Local%20Settings\Temp\Temporary%20Directory%201%20for%20Nhat%20ky%20chung%20Tu%20T7.zip\tu\Ke%20toan\Nhat%20ky%20chung%20thang%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avicoEnergy-07-AuditedFSs(Vn)-14.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T_tuan\hoakt\DOCUME~1\Winpx\LOCALS~1\Temp\Rar$DI02.265\CavicoEnergy-07-AuditedFSs(Vn)-14.2.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HUY\data\THUY\BC%20TAI%20CHINH\Quy%20I.2010\BCKQSXKD&amp;CDKT%20quy%20I.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HATKY"/>
      <sheetName val="TONQUY"/>
      <sheetName val="SOCAI"/>
      <sheetName val="MATK"/>
      <sheetName val="CANDOI"/>
      <sheetName val="CDKT"/>
      <sheetName val="KQKD"/>
      <sheetName val="TKHAI"/>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ong tin"/>
      <sheetName val="Ton tai"/>
      <sheetName val="Bia BC"/>
      <sheetName val="Muc luc"/>
      <sheetName val="Bao cao BGD"/>
      <sheetName val="Bao cao kiem toan"/>
      <sheetName val="BTDC"/>
      <sheetName val="Balance sheet"/>
      <sheetName val="Profit &amp; Loss"/>
      <sheetName val="Cash flow Direct"/>
      <sheetName val="Cash flow Indirect"/>
      <sheetName val="Note FS"/>
      <sheetName val="TM-TSCD"/>
      <sheetName val="TM-Nguon von"/>
      <sheetName val="Bo sung BCaoBGD"/>
      <sheetName val="TMCLech_BCDKT"/>
      <sheetName val="PPLN"/>
      <sheetName val="TMCLech_KQKD"/>
      <sheetName val="LCTT gian tiep"/>
      <sheetName val="00000000"/>
      <sheetName val="10000000"/>
    </sheetNames>
    <sheetDataSet>
      <sheetData sheetId="11">
        <row r="354">
          <cell r="A354" t="str">
            <v>V.</v>
          </cell>
        </row>
        <row r="356">
          <cell r="A356" t="str">
            <v>1.</v>
          </cell>
        </row>
        <row r="365">
          <cell r="A365" t="str">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ong tin"/>
      <sheetName val="Ton tai"/>
      <sheetName val="Bia BC"/>
      <sheetName val="Muc luc"/>
      <sheetName val="Bao cao BGD"/>
      <sheetName val="Bao cao kiem toan"/>
      <sheetName val="BTDC"/>
      <sheetName val="Balance sheet"/>
      <sheetName val="Profit &amp; Loss"/>
      <sheetName val="Cash flow Direct"/>
      <sheetName val="Cash flow Indirect"/>
      <sheetName val="Note FS"/>
      <sheetName val="TM-TSCD"/>
      <sheetName val="TM-Nguon von"/>
      <sheetName val="Bo sung BCaoBGD"/>
      <sheetName val="TMCLech_BCDKT"/>
      <sheetName val="PPLN"/>
      <sheetName val="TMCLech_KQKD"/>
      <sheetName val="LCTT gian tiep"/>
      <sheetName val="00000000"/>
      <sheetName val="10000000"/>
    </sheetNames>
    <sheetDataSet>
      <sheetData sheetId="0">
        <row r="3">
          <cell r="D3" t="str">
            <v>Công ty Cổ phần Xây dựng Năng lượng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amp;PLcanam"/>
      <sheetName val="PL I"/>
      <sheetName val="Cashflow"/>
      <sheetName val="Thuyet minh"/>
      <sheetName val="Nguon von"/>
      <sheetName val="TSCD"/>
      <sheetName val="00000000"/>
      <sheetName val="10000000"/>
      <sheetName val="20000000"/>
      <sheetName val="30000000"/>
      <sheetName val="40000000"/>
      <sheetName val="50000000"/>
      <sheetName val="60000000"/>
      <sheetName val="70000000"/>
    </sheetNames>
    <sheetDataSet>
      <sheetData sheetId="0">
        <row r="1">
          <cell r="A1" t="str">
            <v>CÔNG TY CỔ PHẦN XÂY DỰNG NĂNG LƯỢNG</v>
          </cell>
        </row>
        <row r="2">
          <cell r="A2" t="str">
            <v>Tầng 7, tòa nhà Sông Đà, đường Phạm Hùng, Mỹ Đình, Từ Liêm, Hà Nội</v>
          </cell>
        </row>
        <row r="3">
          <cell r="A3" t="str">
            <v>Tel: (84 4) 7 684 111                             Fax: (84 4) 7 684 644</v>
          </cell>
        </row>
        <row r="18">
          <cell r="I18">
            <v>205176897990</v>
          </cell>
          <cell r="K18">
            <v>85067149859</v>
          </cell>
        </row>
        <row r="23">
          <cell r="I23">
            <v>1423185576</v>
          </cell>
          <cell r="K23">
            <v>562589834</v>
          </cell>
        </row>
        <row r="51">
          <cell r="I51">
            <v>70851684794</v>
          </cell>
          <cell r="K51" t="e">
            <v>#REF!</v>
          </cell>
        </row>
        <row r="89">
          <cell r="I89">
            <v>276028582784</v>
          </cell>
          <cell r="K89" t="e">
            <v>#REF!</v>
          </cell>
        </row>
        <row r="108">
          <cell r="I108">
            <v>237933617678</v>
          </cell>
          <cell r="K108">
            <v>126127711202</v>
          </cell>
        </row>
        <row r="109">
          <cell r="I109">
            <v>237607996678</v>
          </cell>
          <cell r="K109">
            <v>60937110616</v>
          </cell>
        </row>
        <row r="129">
          <cell r="I129">
            <v>38094965106</v>
          </cell>
        </row>
        <row r="133">
          <cell r="K133">
            <v>20000000000</v>
          </cell>
        </row>
        <row r="149">
          <cell r="I149">
            <v>276028582784</v>
          </cell>
          <cell r="K149">
            <v>149671189554</v>
          </cell>
        </row>
      </sheetData>
      <sheetData sheetId="1">
        <row r="13">
          <cell r="H13">
            <v>10357521909</v>
          </cell>
        </row>
        <row r="55">
          <cell r="H55">
            <v>1718733279.367991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67"/>
  <sheetViews>
    <sheetView zoomScaleSheetLayoutView="100" workbookViewId="0" topLeftCell="A83">
      <selection activeCell="G113" sqref="G113"/>
    </sheetView>
  </sheetViews>
  <sheetFormatPr defaultColWidth="8.796875" defaultRowHeight="15"/>
  <cols>
    <col min="1" max="1" width="34.3984375" style="201" customWidth="1"/>
    <col min="2" max="2" width="0.6953125" style="201" hidden="1" customWidth="1"/>
    <col min="3" max="3" width="7" style="251" customWidth="1"/>
    <col min="4" max="4" width="0.6953125" style="251" customWidth="1"/>
    <col min="5" max="5" width="8.69921875" style="251" customWidth="1"/>
    <col min="6" max="6" width="0.6953125" style="201" customWidth="1"/>
    <col min="7" max="7" width="17.59765625" style="516" customWidth="1"/>
    <col min="8" max="8" width="0.40625" style="201" customWidth="1"/>
    <col min="9" max="9" width="15.8984375" style="250" customWidth="1"/>
    <col min="10" max="10" width="0.6953125" style="201" customWidth="1"/>
    <col min="11" max="11" width="15.5" style="201" hidden="1" customWidth="1"/>
    <col min="12" max="12" width="17.5" style="472" customWidth="1"/>
    <col min="13" max="13" width="15.3984375" style="201" bestFit="1" customWidth="1"/>
    <col min="14" max="14" width="22.3984375" style="201" customWidth="1"/>
    <col min="15" max="16384" width="8.8984375" style="201" customWidth="1"/>
  </cols>
  <sheetData>
    <row r="1" spans="1:11" ht="18" customHeight="1">
      <c r="A1" s="199" t="s">
        <v>202</v>
      </c>
      <c r="B1" s="200"/>
      <c r="C1" s="200"/>
      <c r="D1" s="200"/>
      <c r="E1" s="200"/>
      <c r="I1" s="203" t="s">
        <v>204</v>
      </c>
      <c r="J1" s="202"/>
      <c r="K1" s="203" t="s">
        <v>204</v>
      </c>
    </row>
    <row r="2" spans="1:10" ht="16.5" customHeight="1">
      <c r="A2" s="204" t="s">
        <v>203</v>
      </c>
      <c r="B2" s="205"/>
      <c r="C2" s="206"/>
      <c r="D2" s="206"/>
      <c r="E2" s="207"/>
      <c r="I2" s="209" t="s">
        <v>541</v>
      </c>
      <c r="J2" s="208"/>
    </row>
    <row r="3" spans="1:11" ht="16.5" customHeight="1">
      <c r="A3" s="205" t="s">
        <v>526</v>
      </c>
      <c r="B3" s="205"/>
      <c r="C3" s="206"/>
      <c r="D3" s="206"/>
      <c r="E3" s="207"/>
      <c r="F3" s="210"/>
      <c r="G3" s="517"/>
      <c r="H3" s="210"/>
      <c r="I3" s="211"/>
      <c r="J3" s="210"/>
      <c r="K3" s="210"/>
    </row>
    <row r="4" spans="1:11" ht="1.5" customHeight="1">
      <c r="A4" s="212"/>
      <c r="B4" s="212"/>
      <c r="C4" s="213"/>
      <c r="D4" s="213"/>
      <c r="E4" s="214"/>
      <c r="F4" s="215"/>
      <c r="G4" s="518"/>
      <c r="H4" s="215"/>
      <c r="I4" s="216"/>
      <c r="J4" s="215"/>
      <c r="K4" s="215"/>
    </row>
    <row r="5" spans="1:11" ht="12.75" customHeight="1" hidden="1">
      <c r="A5" s="210"/>
      <c r="B5" s="210"/>
      <c r="C5" s="207"/>
      <c r="D5" s="207"/>
      <c r="E5" s="207"/>
      <c r="F5" s="210"/>
      <c r="G5" s="517"/>
      <c r="H5" s="210"/>
      <c r="I5" s="573" t="s">
        <v>217</v>
      </c>
      <c r="J5" s="573"/>
      <c r="K5" s="573"/>
    </row>
    <row r="6" spans="1:11" ht="12.75" customHeight="1" hidden="1">
      <c r="A6" s="210"/>
      <c r="B6" s="210"/>
      <c r="C6" s="207"/>
      <c r="D6" s="207"/>
      <c r="E6" s="207"/>
      <c r="F6" s="210"/>
      <c r="G6" s="517"/>
      <c r="H6" s="210"/>
      <c r="I6" s="211"/>
      <c r="J6" s="210"/>
      <c r="K6" s="217" t="s">
        <v>218</v>
      </c>
    </row>
    <row r="7" spans="1:11" ht="12.75" customHeight="1" hidden="1">
      <c r="A7" s="210"/>
      <c r="B7" s="210"/>
      <c r="C7" s="207"/>
      <c r="D7" s="207"/>
      <c r="E7" s="207"/>
      <c r="F7" s="210"/>
      <c r="G7" s="517"/>
      <c r="H7" s="210"/>
      <c r="I7" s="211"/>
      <c r="J7" s="210"/>
      <c r="K7" s="217" t="s">
        <v>219</v>
      </c>
    </row>
    <row r="8" spans="1:11" ht="12.75" customHeight="1" hidden="1">
      <c r="A8" s="210"/>
      <c r="B8" s="210"/>
      <c r="C8" s="207"/>
      <c r="D8" s="207"/>
      <c r="E8" s="207"/>
      <c r="F8" s="210"/>
      <c r="G8" s="517"/>
      <c r="H8" s="210"/>
      <c r="I8" s="211"/>
      <c r="J8" s="210"/>
      <c r="K8" s="217" t="s">
        <v>390</v>
      </c>
    </row>
    <row r="9" spans="1:11" ht="1.5" customHeight="1">
      <c r="A9" s="210"/>
      <c r="B9" s="210"/>
      <c r="C9" s="207"/>
      <c r="D9" s="207"/>
      <c r="E9" s="207"/>
      <c r="F9" s="210"/>
      <c r="G9" s="517"/>
      <c r="H9" s="210"/>
      <c r="I9" s="211"/>
      <c r="J9" s="210"/>
      <c r="K9" s="217"/>
    </row>
    <row r="10" spans="1:11" ht="12" customHeight="1">
      <c r="A10" s="210"/>
      <c r="B10" s="210"/>
      <c r="C10" s="207"/>
      <c r="D10" s="207"/>
      <c r="E10" s="207"/>
      <c r="F10" s="210"/>
      <c r="G10" s="517"/>
      <c r="H10" s="210"/>
      <c r="I10" s="211"/>
      <c r="J10" s="210"/>
      <c r="K10" s="95" t="s">
        <v>217</v>
      </c>
    </row>
    <row r="11" spans="1:11" ht="21" customHeight="1">
      <c r="A11" s="574" t="s">
        <v>391</v>
      </c>
      <c r="B11" s="574"/>
      <c r="C11" s="574"/>
      <c r="D11" s="574"/>
      <c r="E11" s="574"/>
      <c r="F11" s="574"/>
      <c r="G11" s="574"/>
      <c r="H11" s="574"/>
      <c r="I11" s="574"/>
      <c r="J11" s="574"/>
      <c r="K11" s="574"/>
    </row>
    <row r="12" spans="1:11" ht="15.75" customHeight="1">
      <c r="A12" s="575" t="s">
        <v>537</v>
      </c>
      <c r="B12" s="576"/>
      <c r="C12" s="576"/>
      <c r="D12" s="576"/>
      <c r="E12" s="576"/>
      <c r="F12" s="576"/>
      <c r="G12" s="576"/>
      <c r="H12" s="576"/>
      <c r="I12" s="576"/>
      <c r="J12" s="576"/>
      <c r="K12" s="576"/>
    </row>
    <row r="13" spans="1:11" ht="15" customHeight="1">
      <c r="A13" s="195"/>
      <c r="B13" s="195"/>
      <c r="C13" s="206"/>
      <c r="D13" s="206"/>
      <c r="E13" s="206"/>
      <c r="F13" s="195"/>
      <c r="G13" s="519"/>
      <c r="H13" s="195"/>
      <c r="I13" s="218"/>
      <c r="J13" s="195"/>
      <c r="K13" s="219" t="s">
        <v>307</v>
      </c>
    </row>
    <row r="14" spans="1:11" ht="1.5" customHeight="1">
      <c r="A14" s="195"/>
      <c r="B14" s="195"/>
      <c r="C14" s="206"/>
      <c r="D14" s="206"/>
      <c r="E14" s="206"/>
      <c r="F14" s="195"/>
      <c r="G14" s="519"/>
      <c r="H14" s="195"/>
      <c r="I14" s="218"/>
      <c r="J14" s="195"/>
      <c r="K14" s="220"/>
    </row>
    <row r="15" spans="1:13" ht="15.75" customHeight="1">
      <c r="A15" s="579" t="s">
        <v>238</v>
      </c>
      <c r="B15" s="195"/>
      <c r="C15" s="581" t="s">
        <v>286</v>
      </c>
      <c r="D15" s="221"/>
      <c r="E15" s="583" t="s">
        <v>425</v>
      </c>
      <c r="F15" s="195"/>
      <c r="G15" s="585" t="s">
        <v>527</v>
      </c>
      <c r="H15" s="195"/>
      <c r="I15" s="585" t="s">
        <v>540</v>
      </c>
      <c r="J15" s="222"/>
      <c r="K15" s="577" t="s">
        <v>205</v>
      </c>
      <c r="L15" s="572"/>
      <c r="M15" s="572"/>
    </row>
    <row r="16" spans="1:13" ht="15.75" customHeight="1">
      <c r="A16" s="580"/>
      <c r="B16" s="223"/>
      <c r="C16" s="582"/>
      <c r="D16" s="224"/>
      <c r="E16" s="584"/>
      <c r="F16" s="225"/>
      <c r="G16" s="586"/>
      <c r="H16" s="225"/>
      <c r="I16" s="586"/>
      <c r="J16" s="222"/>
      <c r="K16" s="578"/>
      <c r="L16" s="572"/>
      <c r="M16" s="572"/>
    </row>
    <row r="17" spans="1:11" ht="1.5" customHeight="1">
      <c r="A17" s="195"/>
      <c r="B17" s="195"/>
      <c r="C17" s="206"/>
      <c r="D17" s="206"/>
      <c r="E17" s="206"/>
      <c r="F17" s="195"/>
      <c r="G17" s="519"/>
      <c r="H17" s="195"/>
      <c r="I17" s="218"/>
      <c r="J17" s="195"/>
      <c r="K17" s="195"/>
    </row>
    <row r="18" spans="1:13" ht="19.5" customHeight="1">
      <c r="A18" s="223" t="s">
        <v>392</v>
      </c>
      <c r="B18" s="226"/>
      <c r="C18" s="225">
        <v>100</v>
      </c>
      <c r="D18" s="227"/>
      <c r="E18" s="206"/>
      <c r="F18" s="228"/>
      <c r="G18" s="520">
        <f>G21+G26+G30+G39+G44</f>
        <v>264875804614</v>
      </c>
      <c r="H18" s="228"/>
      <c r="I18" s="229">
        <f>I21+I26+I30+I39+I44</f>
        <v>205176897990</v>
      </c>
      <c r="J18" s="230"/>
      <c r="K18" s="229">
        <f>K21+K26+K30+K39+K44</f>
        <v>85067149859</v>
      </c>
      <c r="M18" s="407"/>
    </row>
    <row r="19" spans="1:13" ht="15" customHeight="1">
      <c r="A19" s="223" t="s">
        <v>393</v>
      </c>
      <c r="B19" s="226"/>
      <c r="C19" s="225"/>
      <c r="D19" s="227"/>
      <c r="E19" s="206"/>
      <c r="F19" s="228"/>
      <c r="G19" s="521"/>
      <c r="H19" s="228"/>
      <c r="I19" s="229"/>
      <c r="J19" s="230"/>
      <c r="K19" s="229"/>
      <c r="M19" s="250"/>
    </row>
    <row r="20" spans="1:13" ht="1.5" customHeight="1">
      <c r="A20" s="226"/>
      <c r="B20" s="226"/>
      <c r="C20" s="225"/>
      <c r="D20" s="227"/>
      <c r="E20" s="231"/>
      <c r="F20" s="196"/>
      <c r="G20" s="521"/>
      <c r="H20" s="196"/>
      <c r="I20" s="232"/>
      <c r="J20" s="233"/>
      <c r="K20" s="232"/>
      <c r="M20" s="250"/>
    </row>
    <row r="21" spans="1:13" ht="15.75">
      <c r="A21" s="226" t="s">
        <v>261</v>
      </c>
      <c r="B21" s="226"/>
      <c r="C21" s="225">
        <v>110</v>
      </c>
      <c r="D21" s="227"/>
      <c r="E21" s="234"/>
      <c r="G21" s="520">
        <f>G23+G24</f>
        <v>2784696424</v>
      </c>
      <c r="I21" s="229">
        <f>I23+I24</f>
        <v>1423185576</v>
      </c>
      <c r="J21" s="230"/>
      <c r="K21" s="229">
        <f>SUM(K23:K24)</f>
        <v>562589834</v>
      </c>
      <c r="L21" s="473"/>
      <c r="M21" s="407"/>
    </row>
    <row r="22" spans="1:13" ht="1.5" customHeight="1">
      <c r="A22" s="226"/>
      <c r="B22" s="226"/>
      <c r="C22" s="225"/>
      <c r="D22" s="227"/>
      <c r="E22" s="234"/>
      <c r="F22" s="235"/>
      <c r="G22" s="521"/>
      <c r="H22" s="235"/>
      <c r="I22" s="229"/>
      <c r="J22" s="230"/>
      <c r="K22" s="229"/>
      <c r="M22" s="250"/>
    </row>
    <row r="23" spans="1:13" ht="16.5" customHeight="1">
      <c r="A23" s="195" t="s">
        <v>394</v>
      </c>
      <c r="B23" s="195"/>
      <c r="C23" s="236">
        <v>111</v>
      </c>
      <c r="D23" s="237"/>
      <c r="E23" s="238" t="str">
        <f>'[2]Note FS'!$A$354&amp;'[2]Note FS'!$A$356</f>
        <v>V.1.</v>
      </c>
      <c r="G23" s="521">
        <f>1084098614+1700597810</f>
        <v>2784696424</v>
      </c>
      <c r="I23" s="521">
        <v>1423185576</v>
      </c>
      <c r="J23" s="239"/>
      <c r="K23" s="232">
        <v>562589834</v>
      </c>
      <c r="M23" s="250"/>
    </row>
    <row r="24" spans="1:13" ht="19.5" customHeight="1">
      <c r="A24" s="195" t="s">
        <v>333</v>
      </c>
      <c r="B24" s="195"/>
      <c r="C24" s="236">
        <v>112</v>
      </c>
      <c r="D24" s="237"/>
      <c r="E24" s="240"/>
      <c r="G24" s="521"/>
      <c r="I24" s="521">
        <v>0</v>
      </c>
      <c r="J24" s="233"/>
      <c r="K24" s="232">
        <v>0</v>
      </c>
      <c r="M24" s="250"/>
    </row>
    <row r="25" spans="1:13" ht="1.5" customHeight="1">
      <c r="A25" s="195"/>
      <c r="B25" s="195"/>
      <c r="C25" s="236"/>
      <c r="D25" s="237"/>
      <c r="E25" s="234"/>
      <c r="F25" s="241"/>
      <c r="G25" s="521"/>
      <c r="H25" s="241"/>
      <c r="I25" s="232"/>
      <c r="J25" s="233"/>
      <c r="K25" s="232"/>
      <c r="M25" s="250"/>
    </row>
    <row r="26" spans="1:13" ht="14.25" customHeight="1">
      <c r="A26" s="226" t="s">
        <v>287</v>
      </c>
      <c r="B26" s="195"/>
      <c r="C26" s="225">
        <v>120</v>
      </c>
      <c r="D26" s="237"/>
      <c r="E26" s="234"/>
      <c r="F26" s="241"/>
      <c r="G26" s="520">
        <f>G27</f>
        <v>11939163246</v>
      </c>
      <c r="H26" s="241"/>
      <c r="I26" s="229">
        <f>I27</f>
        <v>10939163246</v>
      </c>
      <c r="J26" s="242"/>
      <c r="K26" s="229">
        <f>K27</f>
        <v>0</v>
      </c>
      <c r="M26" s="250"/>
    </row>
    <row r="27" spans="1:13" ht="14.25" customHeight="1">
      <c r="A27" s="243" t="s">
        <v>334</v>
      </c>
      <c r="B27" s="243"/>
      <c r="C27" s="244">
        <v>121</v>
      </c>
      <c r="D27" s="245"/>
      <c r="E27" s="238" t="str">
        <f>'[2]Note FS'!$A$354&amp;'[2]Note FS'!$A$365</f>
        <v>V.2.</v>
      </c>
      <c r="F27" s="246"/>
      <c r="G27" s="521">
        <v>11939163246</v>
      </c>
      <c r="H27" s="246"/>
      <c r="I27" s="521">
        <v>10939163246</v>
      </c>
      <c r="J27" s="247"/>
      <c r="K27" s="248">
        <v>0</v>
      </c>
      <c r="L27" s="473"/>
      <c r="M27" s="250"/>
    </row>
    <row r="28" spans="1:13" ht="15.75">
      <c r="A28" s="243" t="s">
        <v>365</v>
      </c>
      <c r="B28" s="243"/>
      <c r="C28" s="244">
        <v>129</v>
      </c>
      <c r="D28" s="245"/>
      <c r="E28" s="249"/>
      <c r="F28" s="246"/>
      <c r="G28" s="521">
        <v>0</v>
      </c>
      <c r="H28" s="246"/>
      <c r="I28" s="248">
        <v>0</v>
      </c>
      <c r="J28" s="247"/>
      <c r="K28" s="248">
        <v>0</v>
      </c>
      <c r="M28" s="250"/>
    </row>
    <row r="29" spans="1:13" ht="1.5" customHeight="1">
      <c r="A29" s="195"/>
      <c r="B29" s="195"/>
      <c r="C29" s="236"/>
      <c r="D29" s="237"/>
      <c r="E29" s="234"/>
      <c r="F29" s="241"/>
      <c r="G29" s="521"/>
      <c r="H29" s="241"/>
      <c r="I29" s="232"/>
      <c r="J29" s="233"/>
      <c r="K29" s="232"/>
      <c r="M29" s="250"/>
    </row>
    <row r="30" spans="1:14" ht="15.75" customHeight="1">
      <c r="A30" s="226" t="s">
        <v>335</v>
      </c>
      <c r="B30" s="226"/>
      <c r="C30" s="225">
        <v>130</v>
      </c>
      <c r="D30" s="227"/>
      <c r="E30" s="234"/>
      <c r="F30" s="235"/>
      <c r="G30" s="520">
        <f>SUM(G32:G37)</f>
        <v>99873109455</v>
      </c>
      <c r="H30" s="235"/>
      <c r="I30" s="229">
        <f>SUM(I32:I37)</f>
        <v>63774928871</v>
      </c>
      <c r="J30" s="230"/>
      <c r="K30" s="229">
        <f>SUM(K32:K37)</f>
        <v>41379761985</v>
      </c>
      <c r="L30" s="473"/>
      <c r="M30" s="407"/>
      <c r="N30" s="250"/>
    </row>
    <row r="31" spans="1:13" ht="2.25" customHeight="1">
      <c r="A31" s="226"/>
      <c r="B31" s="226"/>
      <c r="C31" s="225"/>
      <c r="D31" s="227"/>
      <c r="E31" s="234"/>
      <c r="F31" s="235"/>
      <c r="G31" s="521"/>
      <c r="H31" s="235"/>
      <c r="I31" s="229"/>
      <c r="J31" s="230"/>
      <c r="K31" s="232"/>
      <c r="M31" s="250"/>
    </row>
    <row r="32" spans="1:13" ht="16.5" customHeight="1">
      <c r="A32" s="195" t="s">
        <v>237</v>
      </c>
      <c r="B32" s="195"/>
      <c r="C32" s="236">
        <v>131</v>
      </c>
      <c r="D32" s="237"/>
      <c r="E32" s="545" t="s">
        <v>48</v>
      </c>
      <c r="F32" s="241"/>
      <c r="G32" s="521">
        <f>110488047238-G54</f>
        <v>72260694238</v>
      </c>
      <c r="H32" s="241"/>
      <c r="I32" s="521">
        <v>43714784200</v>
      </c>
      <c r="J32" s="239"/>
      <c r="K32" s="232">
        <v>35297018162</v>
      </c>
      <c r="L32" s="473"/>
      <c r="M32" s="250"/>
    </row>
    <row r="33" spans="1:13" ht="16.5" customHeight="1">
      <c r="A33" s="195" t="s">
        <v>241</v>
      </c>
      <c r="B33" s="195"/>
      <c r="C33" s="236">
        <v>132</v>
      </c>
      <c r="D33" s="237"/>
      <c r="E33" s="318"/>
      <c r="F33" s="241"/>
      <c r="G33" s="521">
        <v>6302054943</v>
      </c>
      <c r="H33" s="241"/>
      <c r="I33" s="521">
        <v>9647438397</v>
      </c>
      <c r="J33" s="239"/>
      <c r="K33" s="232">
        <v>5948743823</v>
      </c>
      <c r="L33" s="473"/>
      <c r="M33" s="250"/>
    </row>
    <row r="34" spans="1:13" ht="16.5" customHeight="1">
      <c r="A34" s="195" t="s">
        <v>336</v>
      </c>
      <c r="B34" s="195"/>
      <c r="C34" s="236">
        <v>133</v>
      </c>
      <c r="D34" s="237"/>
      <c r="E34" s="249"/>
      <c r="F34" s="241"/>
      <c r="G34" s="521"/>
      <c r="H34" s="241"/>
      <c r="I34" s="521"/>
      <c r="J34" s="233"/>
      <c r="K34" s="232">
        <v>0</v>
      </c>
      <c r="L34" s="473"/>
      <c r="M34" s="250"/>
    </row>
    <row r="35" spans="1:13" ht="16.5" customHeight="1" hidden="1">
      <c r="A35" s="195" t="s">
        <v>427</v>
      </c>
      <c r="B35" s="195"/>
      <c r="C35" s="236">
        <v>134</v>
      </c>
      <c r="D35" s="237"/>
      <c r="F35" s="241"/>
      <c r="G35" s="521"/>
      <c r="H35" s="241"/>
      <c r="I35" s="521"/>
      <c r="J35" s="233"/>
      <c r="K35" s="232"/>
      <c r="M35" s="250"/>
    </row>
    <row r="36" spans="1:13" ht="16.5" customHeight="1">
      <c r="A36" s="195" t="s">
        <v>55</v>
      </c>
      <c r="B36" s="195"/>
      <c r="C36" s="236">
        <v>135</v>
      </c>
      <c r="D36" s="237"/>
      <c r="E36" s="249" t="s">
        <v>19</v>
      </c>
      <c r="F36" s="241"/>
      <c r="G36" s="521">
        <f>21310580274-220000</f>
        <v>21310360274</v>
      </c>
      <c r="H36" s="241"/>
      <c r="I36" s="521">
        <v>10412706274</v>
      </c>
      <c r="J36" s="233"/>
      <c r="K36" s="232">
        <v>134000000</v>
      </c>
      <c r="M36" s="250"/>
    </row>
    <row r="37" spans="1:13" ht="16.5" customHeight="1" hidden="1">
      <c r="A37" s="195" t="s">
        <v>428</v>
      </c>
      <c r="B37" s="195"/>
      <c r="C37" s="236">
        <v>139</v>
      </c>
      <c r="D37" s="237"/>
      <c r="E37" s="249"/>
      <c r="F37" s="241"/>
      <c r="G37" s="521"/>
      <c r="H37" s="241"/>
      <c r="I37" s="232">
        <v>0</v>
      </c>
      <c r="J37" s="233"/>
      <c r="K37" s="232">
        <v>0</v>
      </c>
      <c r="M37" s="250"/>
    </row>
    <row r="38" spans="1:13" ht="1.5" customHeight="1">
      <c r="A38" s="195"/>
      <c r="B38" s="195"/>
      <c r="C38" s="236"/>
      <c r="D38" s="237"/>
      <c r="E38" s="234"/>
      <c r="F38" s="241"/>
      <c r="G38" s="521"/>
      <c r="H38" s="241"/>
      <c r="I38" s="232"/>
      <c r="J38" s="233"/>
      <c r="K38" s="232"/>
      <c r="M38" s="250"/>
    </row>
    <row r="39" spans="1:13" ht="16.5" customHeight="1">
      <c r="A39" s="226" t="s">
        <v>288</v>
      </c>
      <c r="B39" s="226"/>
      <c r="C39" s="225">
        <v>140</v>
      </c>
      <c r="D39" s="227"/>
      <c r="E39" s="234"/>
      <c r="F39" s="235"/>
      <c r="G39" s="520">
        <f>SUM(G41:G42)</f>
        <v>129821362999</v>
      </c>
      <c r="H39" s="235"/>
      <c r="I39" s="229">
        <f>SUM(I41:I42)</f>
        <v>109108477417</v>
      </c>
      <c r="J39" s="230"/>
      <c r="K39" s="229">
        <f>SUM(K41:K42)</f>
        <v>39820020110</v>
      </c>
      <c r="M39" s="407"/>
    </row>
    <row r="40" spans="1:13" ht="1.5" customHeight="1">
      <c r="A40" s="226"/>
      <c r="B40" s="226"/>
      <c r="C40" s="225"/>
      <c r="D40" s="227"/>
      <c r="E40" s="234"/>
      <c r="F40" s="235"/>
      <c r="G40" s="521"/>
      <c r="H40" s="235"/>
      <c r="I40" s="232"/>
      <c r="J40" s="230"/>
      <c r="K40" s="232"/>
      <c r="M40" s="250"/>
    </row>
    <row r="41" spans="1:14" ht="16.5" customHeight="1">
      <c r="A41" s="252" t="s">
        <v>366</v>
      </c>
      <c r="B41" s="252"/>
      <c r="C41" s="253">
        <v>141</v>
      </c>
      <c r="D41" s="254"/>
      <c r="E41" s="238" t="s">
        <v>20</v>
      </c>
      <c r="F41" s="235"/>
      <c r="G41" s="521">
        <f>1000486269+3001208783+91469000+125728198947</f>
        <v>129821362999</v>
      </c>
      <c r="H41" s="241"/>
      <c r="I41" s="521">
        <v>109108477417</v>
      </c>
      <c r="J41" s="230"/>
      <c r="K41" s="248">
        <v>39820020110</v>
      </c>
      <c r="L41" s="473"/>
      <c r="M41" s="250"/>
      <c r="N41" s="250"/>
    </row>
    <row r="42" spans="1:14" ht="14.25" customHeight="1">
      <c r="A42" s="252" t="s">
        <v>367</v>
      </c>
      <c r="B42" s="252"/>
      <c r="C42" s="255">
        <v>149</v>
      </c>
      <c r="D42" s="254"/>
      <c r="E42" s="249"/>
      <c r="F42" s="235"/>
      <c r="G42" s="521">
        <v>0</v>
      </c>
      <c r="H42" s="235"/>
      <c r="I42" s="232">
        <v>0</v>
      </c>
      <c r="J42" s="230"/>
      <c r="K42" s="248">
        <v>0</v>
      </c>
      <c r="M42" s="250"/>
      <c r="N42" s="250"/>
    </row>
    <row r="43" spans="1:13" ht="2.25" customHeight="1">
      <c r="A43" s="195"/>
      <c r="B43" s="195"/>
      <c r="C43" s="236"/>
      <c r="D43" s="237"/>
      <c r="E43" s="234"/>
      <c r="F43" s="241"/>
      <c r="G43" s="521"/>
      <c r="H43" s="241"/>
      <c r="I43" s="232">
        <v>0</v>
      </c>
      <c r="J43" s="233"/>
      <c r="K43" s="232"/>
      <c r="M43" s="250"/>
    </row>
    <row r="44" spans="1:13" ht="14.25" customHeight="1">
      <c r="A44" s="226" t="s">
        <v>368</v>
      </c>
      <c r="B44" s="226"/>
      <c r="C44" s="225">
        <v>150</v>
      </c>
      <c r="D44" s="227"/>
      <c r="E44" s="234"/>
      <c r="F44" s="235"/>
      <c r="G44" s="520">
        <f>SUM(G46:G49)</f>
        <v>20457472490</v>
      </c>
      <c r="H44" s="235"/>
      <c r="I44" s="229">
        <f>SUM(I46:I49)</f>
        <v>19931142880</v>
      </c>
      <c r="J44" s="230"/>
      <c r="K44" s="229">
        <f>SUM(K46:K49)</f>
        <v>3304777930</v>
      </c>
      <c r="M44" s="407"/>
    </row>
    <row r="45" spans="1:13" ht="1.5" customHeight="1">
      <c r="A45" s="226"/>
      <c r="B45" s="226"/>
      <c r="C45" s="225"/>
      <c r="D45" s="227"/>
      <c r="E45" s="234"/>
      <c r="F45" s="235"/>
      <c r="G45" s="521"/>
      <c r="H45" s="235"/>
      <c r="I45" s="229"/>
      <c r="J45" s="230"/>
      <c r="K45" s="232"/>
      <c r="M45" s="250"/>
    </row>
    <row r="46" spans="1:13" ht="14.25" customHeight="1">
      <c r="A46" s="243" t="s">
        <v>369</v>
      </c>
      <c r="B46" s="243"/>
      <c r="C46" s="244">
        <v>151</v>
      </c>
      <c r="D46" s="245"/>
      <c r="E46" s="238" t="s">
        <v>21</v>
      </c>
      <c r="F46" s="235"/>
      <c r="G46" s="521">
        <v>4497623671</v>
      </c>
      <c r="H46" s="235"/>
      <c r="I46" s="521">
        <v>4650901007</v>
      </c>
      <c r="J46" s="230"/>
      <c r="K46" s="232">
        <v>0</v>
      </c>
      <c r="M46" s="250"/>
    </row>
    <row r="47" spans="1:13" ht="16.5" customHeight="1">
      <c r="A47" s="243" t="s">
        <v>429</v>
      </c>
      <c r="B47" s="243"/>
      <c r="C47" s="244">
        <v>152</v>
      </c>
      <c r="D47" s="245"/>
      <c r="E47" s="234"/>
      <c r="F47" s="235"/>
      <c r="G47" s="521">
        <v>0</v>
      </c>
      <c r="H47" s="235"/>
      <c r="I47" s="521">
        <v>0</v>
      </c>
      <c r="J47" s="230"/>
      <c r="K47" s="232">
        <v>0</v>
      </c>
      <c r="L47" s="473"/>
      <c r="M47" s="250"/>
    </row>
    <row r="48" spans="1:13" ht="16.5" customHeight="1">
      <c r="A48" s="243" t="s">
        <v>311</v>
      </c>
      <c r="B48" s="243"/>
      <c r="C48" s="244">
        <v>154</v>
      </c>
      <c r="D48" s="245"/>
      <c r="E48" s="256"/>
      <c r="G48" s="521">
        <v>0</v>
      </c>
      <c r="I48" s="521">
        <v>0</v>
      </c>
      <c r="J48" s="257"/>
      <c r="K48" s="258">
        <v>0</v>
      </c>
      <c r="M48" s="250"/>
    </row>
    <row r="49" spans="1:13" ht="16.5" customHeight="1">
      <c r="A49" s="195" t="s">
        <v>364</v>
      </c>
      <c r="B49" s="195"/>
      <c r="C49" s="236">
        <v>158</v>
      </c>
      <c r="D49" s="237"/>
      <c r="E49" s="318" t="s">
        <v>22</v>
      </c>
      <c r="F49" s="241"/>
      <c r="G49" s="521">
        <f>15959848819</f>
        <v>15959848819</v>
      </c>
      <c r="H49" s="241"/>
      <c r="I49" s="521">
        <v>15280241873</v>
      </c>
      <c r="J49" s="259"/>
      <c r="K49" s="258">
        <v>3304777930</v>
      </c>
      <c r="L49" s="473"/>
      <c r="M49" s="250"/>
    </row>
    <row r="50" spans="1:13" ht="1.5" customHeight="1">
      <c r="A50" s="195"/>
      <c r="B50" s="195"/>
      <c r="C50" s="236"/>
      <c r="D50" s="237"/>
      <c r="E50" s="234"/>
      <c r="F50" s="241"/>
      <c r="G50" s="521"/>
      <c r="H50" s="241"/>
      <c r="I50" s="232"/>
      <c r="J50" s="233"/>
      <c r="K50" s="239"/>
      <c r="M50" s="250"/>
    </row>
    <row r="51" spans="1:13" ht="18" customHeight="1">
      <c r="A51" s="223" t="s">
        <v>312</v>
      </c>
      <c r="B51" s="226"/>
      <c r="C51" s="225">
        <v>200</v>
      </c>
      <c r="D51" s="227"/>
      <c r="E51" s="234"/>
      <c r="F51" s="235"/>
      <c r="G51" s="520">
        <f>G54+G61+G76+G79+G84</f>
        <v>54579432073</v>
      </c>
      <c r="H51" s="235"/>
      <c r="I51" s="229">
        <f>I54+I61+I76+I79+I84</f>
        <v>70851684794</v>
      </c>
      <c r="J51" s="230"/>
      <c r="K51" s="229" t="e">
        <f>K54+K61+K76+K79+K84</f>
        <v>#REF!</v>
      </c>
      <c r="M51" s="407"/>
    </row>
    <row r="52" spans="1:14" ht="15" customHeight="1">
      <c r="A52" s="223" t="s">
        <v>395</v>
      </c>
      <c r="B52" s="226"/>
      <c r="C52" s="225"/>
      <c r="D52" s="227"/>
      <c r="E52" s="234"/>
      <c r="F52" s="235"/>
      <c r="G52" s="521"/>
      <c r="H52" s="235"/>
      <c r="I52" s="229"/>
      <c r="J52" s="230"/>
      <c r="K52" s="229"/>
      <c r="L52" s="473"/>
      <c r="M52" s="250"/>
      <c r="N52" s="250"/>
    </row>
    <row r="53" spans="1:13" ht="1.5" customHeight="1">
      <c r="A53" s="223"/>
      <c r="B53" s="226"/>
      <c r="C53" s="225"/>
      <c r="D53" s="227"/>
      <c r="E53" s="234"/>
      <c r="F53" s="235"/>
      <c r="G53" s="521"/>
      <c r="H53" s="235"/>
      <c r="I53" s="229"/>
      <c r="J53" s="230"/>
      <c r="K53" s="229"/>
      <c r="M53" s="250"/>
    </row>
    <row r="54" spans="1:13" ht="16.5" customHeight="1">
      <c r="A54" s="226" t="s">
        <v>370</v>
      </c>
      <c r="B54" s="226"/>
      <c r="C54" s="225">
        <v>210</v>
      </c>
      <c r="D54" s="227"/>
      <c r="E54" s="234"/>
      <c r="F54" s="235"/>
      <c r="G54" s="229">
        <v>38227353000</v>
      </c>
      <c r="H54" s="235"/>
      <c r="I54" s="229">
        <v>47323903000</v>
      </c>
      <c r="J54" s="230"/>
      <c r="K54" s="229">
        <f>SUM(K55:K59)</f>
        <v>0</v>
      </c>
      <c r="L54" s="473"/>
      <c r="M54" s="250"/>
    </row>
    <row r="55" spans="1:13" ht="15.75" hidden="1">
      <c r="A55" s="243" t="s">
        <v>371</v>
      </c>
      <c r="B55" s="226"/>
      <c r="C55" s="244">
        <v>211</v>
      </c>
      <c r="D55" s="227"/>
      <c r="E55" s="249"/>
      <c r="F55" s="246"/>
      <c r="G55" s="521"/>
      <c r="H55" s="246"/>
      <c r="I55" s="232">
        <v>0</v>
      </c>
      <c r="J55" s="260"/>
      <c r="K55" s="248">
        <v>0</v>
      </c>
      <c r="M55" s="250"/>
    </row>
    <row r="56" spans="1:13" ht="15.75" hidden="1">
      <c r="A56" s="243" t="s">
        <v>396</v>
      </c>
      <c r="B56" s="226"/>
      <c r="C56" s="244">
        <v>212</v>
      </c>
      <c r="D56" s="227"/>
      <c r="E56" s="249"/>
      <c r="F56" s="246"/>
      <c r="G56" s="521"/>
      <c r="H56" s="246"/>
      <c r="I56" s="248"/>
      <c r="J56" s="260"/>
      <c r="K56" s="248"/>
      <c r="M56" s="250"/>
    </row>
    <row r="57" spans="1:13" ht="15.75" hidden="1">
      <c r="A57" s="243" t="s">
        <v>397</v>
      </c>
      <c r="B57" s="226"/>
      <c r="C57" s="244">
        <v>213</v>
      </c>
      <c r="D57" s="227"/>
      <c r="E57" s="249"/>
      <c r="F57" s="246"/>
      <c r="G57" s="521"/>
      <c r="H57" s="246"/>
      <c r="I57" s="248">
        <v>0</v>
      </c>
      <c r="J57" s="260"/>
      <c r="K57" s="248">
        <v>0</v>
      </c>
      <c r="M57" s="250"/>
    </row>
    <row r="58" spans="1:13" ht="16.5" customHeight="1" hidden="1">
      <c r="A58" s="243" t="s">
        <v>398</v>
      </c>
      <c r="B58" s="226"/>
      <c r="C58" s="244">
        <v>218</v>
      </c>
      <c r="D58" s="227"/>
      <c r="E58" s="249"/>
      <c r="F58" s="246"/>
      <c r="G58" s="521"/>
      <c r="H58" s="246"/>
      <c r="I58" s="248">
        <v>0</v>
      </c>
      <c r="J58" s="260"/>
      <c r="K58" s="248">
        <v>0</v>
      </c>
      <c r="M58" s="250"/>
    </row>
    <row r="59" spans="1:13" ht="15.75" hidden="1">
      <c r="A59" s="243" t="s">
        <v>399</v>
      </c>
      <c r="B59" s="226"/>
      <c r="C59" s="244">
        <v>219</v>
      </c>
      <c r="D59" s="227"/>
      <c r="E59" s="249"/>
      <c r="F59" s="246"/>
      <c r="G59" s="521"/>
      <c r="H59" s="246"/>
      <c r="I59" s="248"/>
      <c r="J59" s="260"/>
      <c r="K59" s="248">
        <v>0</v>
      </c>
      <c r="M59" s="250"/>
    </row>
    <row r="60" spans="1:13" ht="2.25" customHeight="1">
      <c r="A60" s="226"/>
      <c r="B60" s="226"/>
      <c r="C60" s="225"/>
      <c r="D60" s="227"/>
      <c r="E60" s="234"/>
      <c r="F60" s="235"/>
      <c r="G60" s="521"/>
      <c r="H60" s="235"/>
      <c r="I60" s="229"/>
      <c r="J60" s="230"/>
      <c r="K60" s="232"/>
      <c r="M60" s="250"/>
    </row>
    <row r="61" spans="1:13" ht="16.5" customHeight="1">
      <c r="A61" s="226" t="s">
        <v>400</v>
      </c>
      <c r="B61" s="226"/>
      <c r="C61" s="225">
        <v>220</v>
      </c>
      <c r="D61" s="227"/>
      <c r="E61" s="234"/>
      <c r="F61" s="235"/>
      <c r="G61" s="520">
        <f>G63+G75</f>
        <v>13368441149</v>
      </c>
      <c r="H61" s="235"/>
      <c r="I61" s="229">
        <f>I63+I71+I67+I75</f>
        <v>18953025889</v>
      </c>
      <c r="J61" s="230"/>
      <c r="K61" s="229">
        <f>K63+K71+K67+K75</f>
        <v>60387984689</v>
      </c>
      <c r="L61" s="473"/>
      <c r="M61" s="407"/>
    </row>
    <row r="62" spans="1:13" ht="1.5" customHeight="1">
      <c r="A62" s="226"/>
      <c r="B62" s="226"/>
      <c r="C62" s="225"/>
      <c r="D62" s="227"/>
      <c r="E62" s="234"/>
      <c r="F62" s="235"/>
      <c r="G62" s="521"/>
      <c r="H62" s="235"/>
      <c r="I62" s="229"/>
      <c r="J62" s="230"/>
      <c r="K62" s="232"/>
      <c r="M62" s="250"/>
    </row>
    <row r="63" spans="1:13" ht="16.5" customHeight="1">
      <c r="A63" s="243" t="s">
        <v>290</v>
      </c>
      <c r="B63" s="243"/>
      <c r="C63" s="244">
        <v>221</v>
      </c>
      <c r="D63" s="244"/>
      <c r="E63" s="238" t="s">
        <v>23</v>
      </c>
      <c r="G63" s="521">
        <f>G64+G65</f>
        <v>13368441149</v>
      </c>
      <c r="I63" s="521">
        <f>I64+I65</f>
        <v>18953025889</v>
      </c>
      <c r="J63" s="260"/>
      <c r="K63" s="248">
        <f>K64+K65</f>
        <v>60387984689</v>
      </c>
      <c r="M63" s="250"/>
    </row>
    <row r="64" spans="1:13" s="266" customFormat="1" ht="16.5" customHeight="1">
      <c r="A64" s="261" t="s">
        <v>233</v>
      </c>
      <c r="B64" s="261"/>
      <c r="C64" s="244">
        <v>222</v>
      </c>
      <c r="D64" s="245"/>
      <c r="E64" s="262"/>
      <c r="F64" s="263"/>
      <c r="G64" s="521">
        <v>71303278537</v>
      </c>
      <c r="H64" s="263"/>
      <c r="I64" s="521">
        <v>74217564251</v>
      </c>
      <c r="J64" s="265"/>
      <c r="K64" s="264">
        <v>79890300487</v>
      </c>
      <c r="L64" s="472"/>
      <c r="M64" s="250"/>
    </row>
    <row r="65" spans="1:13" s="266" customFormat="1" ht="16.5" customHeight="1">
      <c r="A65" s="261" t="s">
        <v>234</v>
      </c>
      <c r="B65" s="261"/>
      <c r="C65" s="244">
        <v>223</v>
      </c>
      <c r="D65" s="245"/>
      <c r="E65" s="262"/>
      <c r="F65" s="263"/>
      <c r="G65" s="521">
        <v>-57934837388</v>
      </c>
      <c r="H65" s="263"/>
      <c r="I65" s="521">
        <v>-55264538362</v>
      </c>
      <c r="J65" s="265"/>
      <c r="K65" s="264">
        <v>-19502315798</v>
      </c>
      <c r="L65" s="472"/>
      <c r="M65" s="250"/>
    </row>
    <row r="66" spans="1:13" ht="1.5" customHeight="1">
      <c r="A66" s="195"/>
      <c r="B66" s="195"/>
      <c r="C66" s="236"/>
      <c r="D66" s="237"/>
      <c r="E66" s="234"/>
      <c r="F66" s="241"/>
      <c r="G66" s="521"/>
      <c r="H66" s="241"/>
      <c r="I66" s="232"/>
      <c r="J66" s="233"/>
      <c r="K66" s="232"/>
      <c r="M66" s="250"/>
    </row>
    <row r="67" spans="1:13" ht="16.5" customHeight="1" hidden="1">
      <c r="A67" s="243" t="s">
        <v>308</v>
      </c>
      <c r="B67" s="243"/>
      <c r="C67" s="244">
        <v>224</v>
      </c>
      <c r="D67" s="244"/>
      <c r="E67" s="249"/>
      <c r="G67" s="521"/>
      <c r="I67" s="248">
        <f>I68+I69</f>
        <v>0</v>
      </c>
      <c r="J67" s="260"/>
      <c r="K67" s="248">
        <f>K68+K69</f>
        <v>0</v>
      </c>
      <c r="M67" s="250"/>
    </row>
    <row r="68" spans="1:13" s="266" customFormat="1" ht="16.5" customHeight="1" hidden="1">
      <c r="A68" s="261" t="s">
        <v>233</v>
      </c>
      <c r="B68" s="261"/>
      <c r="C68" s="244">
        <v>225</v>
      </c>
      <c r="D68" s="245"/>
      <c r="E68" s="262"/>
      <c r="F68" s="263"/>
      <c r="G68" s="521"/>
      <c r="H68" s="263"/>
      <c r="I68" s="264">
        <v>0</v>
      </c>
      <c r="J68" s="265"/>
      <c r="K68" s="264">
        <v>0</v>
      </c>
      <c r="L68" s="472"/>
      <c r="M68" s="250"/>
    </row>
    <row r="69" spans="1:13" s="266" customFormat="1" ht="16.5" customHeight="1" hidden="1">
      <c r="A69" s="261" t="s">
        <v>234</v>
      </c>
      <c r="B69" s="261"/>
      <c r="C69" s="244">
        <v>226</v>
      </c>
      <c r="D69" s="245"/>
      <c r="E69" s="262"/>
      <c r="F69" s="263"/>
      <c r="G69" s="521"/>
      <c r="H69" s="263"/>
      <c r="I69" s="264">
        <v>0</v>
      </c>
      <c r="J69" s="265"/>
      <c r="K69" s="264">
        <v>0</v>
      </c>
      <c r="L69" s="472"/>
      <c r="M69" s="250"/>
    </row>
    <row r="70" spans="1:13" ht="1.5" customHeight="1" hidden="1">
      <c r="A70" s="195"/>
      <c r="B70" s="195"/>
      <c r="C70" s="236"/>
      <c r="D70" s="237"/>
      <c r="E70" s="234"/>
      <c r="F70" s="241"/>
      <c r="G70" s="521"/>
      <c r="H70" s="241"/>
      <c r="I70" s="232" t="e">
        <f>#REF!+#REF!+#REF!+#REF!</f>
        <v>#REF!</v>
      </c>
      <c r="J70" s="233"/>
      <c r="K70" s="232"/>
      <c r="M70" s="250"/>
    </row>
    <row r="71" spans="1:13" ht="16.5" customHeight="1" hidden="1">
      <c r="A71" s="243" t="s">
        <v>310</v>
      </c>
      <c r="B71" s="243"/>
      <c r="C71" s="244">
        <v>227</v>
      </c>
      <c r="D71" s="244"/>
      <c r="G71" s="521"/>
      <c r="I71" s="232">
        <f>SUM(I72:I73)</f>
        <v>0</v>
      </c>
      <c r="J71" s="260"/>
      <c r="K71" s="248">
        <f>K72+K73</f>
        <v>0</v>
      </c>
      <c r="M71" s="250"/>
    </row>
    <row r="72" spans="1:13" s="266" customFormat="1" ht="14.25" customHeight="1" hidden="1">
      <c r="A72" s="261" t="s">
        <v>233</v>
      </c>
      <c r="B72" s="261"/>
      <c r="C72" s="245">
        <v>228</v>
      </c>
      <c r="D72" s="245"/>
      <c r="E72" s="262"/>
      <c r="F72" s="263"/>
      <c r="G72" s="521"/>
      <c r="H72" s="263"/>
      <c r="I72" s="264">
        <v>0</v>
      </c>
      <c r="J72" s="265"/>
      <c r="K72" s="264">
        <v>0</v>
      </c>
      <c r="L72" s="472"/>
      <c r="M72" s="250"/>
    </row>
    <row r="73" spans="1:13" s="266" customFormat="1" ht="14.25" customHeight="1" hidden="1">
      <c r="A73" s="261" t="s">
        <v>234</v>
      </c>
      <c r="B73" s="261"/>
      <c r="C73" s="245">
        <v>229</v>
      </c>
      <c r="D73" s="245"/>
      <c r="E73" s="262"/>
      <c r="F73" s="263"/>
      <c r="G73" s="521"/>
      <c r="H73" s="263"/>
      <c r="I73" s="264">
        <v>0</v>
      </c>
      <c r="J73" s="265"/>
      <c r="K73" s="264">
        <v>0</v>
      </c>
      <c r="L73" s="472"/>
      <c r="M73" s="250"/>
    </row>
    <row r="74" spans="1:13" s="266" customFormat="1" ht="1.5" customHeight="1">
      <c r="A74" s="261"/>
      <c r="B74" s="261"/>
      <c r="C74" s="245"/>
      <c r="D74" s="245"/>
      <c r="E74" s="262"/>
      <c r="F74" s="263"/>
      <c r="G74" s="521"/>
      <c r="H74" s="263"/>
      <c r="I74" s="232"/>
      <c r="J74" s="265"/>
      <c r="K74" s="264"/>
      <c r="L74" s="472"/>
      <c r="M74" s="250"/>
    </row>
    <row r="75" spans="1:13" ht="16.5" customHeight="1">
      <c r="A75" s="243" t="s">
        <v>372</v>
      </c>
      <c r="B75" s="243"/>
      <c r="C75" s="244">
        <v>230</v>
      </c>
      <c r="D75" s="244"/>
      <c r="E75" s="249"/>
      <c r="F75" s="246"/>
      <c r="G75" s="521">
        <v>0</v>
      </c>
      <c r="H75" s="246"/>
      <c r="I75" s="232">
        <v>0</v>
      </c>
      <c r="J75" s="267"/>
      <c r="K75" s="268">
        <v>0</v>
      </c>
      <c r="M75" s="250"/>
    </row>
    <row r="76" spans="1:13" ht="15" customHeight="1">
      <c r="A76" s="226" t="s">
        <v>432</v>
      </c>
      <c r="B76" s="226"/>
      <c r="C76" s="225">
        <v>240</v>
      </c>
      <c r="D76" s="227"/>
      <c r="E76" s="234"/>
      <c r="F76" s="235"/>
      <c r="G76" s="521"/>
      <c r="H76" s="235"/>
      <c r="I76" s="229">
        <f>I77+I78</f>
        <v>0</v>
      </c>
      <c r="J76" s="242"/>
      <c r="K76" s="229">
        <v>0</v>
      </c>
      <c r="M76" s="250"/>
    </row>
    <row r="77" spans="1:13" ht="15" customHeight="1">
      <c r="A77" s="195" t="s">
        <v>233</v>
      </c>
      <c r="B77" s="195"/>
      <c r="C77" s="236">
        <v>241</v>
      </c>
      <c r="D77" s="237"/>
      <c r="E77" s="234"/>
      <c r="F77" s="241"/>
      <c r="G77" s="521">
        <v>0</v>
      </c>
      <c r="H77" s="241"/>
      <c r="I77" s="232">
        <v>0</v>
      </c>
      <c r="J77" s="233"/>
      <c r="K77" s="232">
        <v>0</v>
      </c>
      <c r="M77" s="250"/>
    </row>
    <row r="78" spans="1:13" ht="15" customHeight="1">
      <c r="A78" s="195" t="s">
        <v>234</v>
      </c>
      <c r="B78" s="195"/>
      <c r="C78" s="236">
        <v>242</v>
      </c>
      <c r="D78" s="237"/>
      <c r="E78" s="234"/>
      <c r="F78" s="241"/>
      <c r="G78" s="521">
        <v>0</v>
      </c>
      <c r="H78" s="241"/>
      <c r="I78" s="232">
        <v>0</v>
      </c>
      <c r="J78" s="233"/>
      <c r="K78" s="232">
        <v>0</v>
      </c>
      <c r="M78" s="250"/>
    </row>
    <row r="79" spans="1:13" s="270" customFormat="1" ht="16.5" customHeight="1">
      <c r="A79" s="226" t="s">
        <v>433</v>
      </c>
      <c r="B79" s="226"/>
      <c r="C79" s="225">
        <v>250</v>
      </c>
      <c r="D79" s="227"/>
      <c r="E79" s="269"/>
      <c r="G79" s="522">
        <f>SUM(G80:G83)</f>
        <v>807000000</v>
      </c>
      <c r="I79" s="228">
        <f>SUM(I80:I83)</f>
        <v>807000000</v>
      </c>
      <c r="J79" s="228"/>
      <c r="K79" s="228" t="e">
        <f>SUM(K80:K83)</f>
        <v>#REF!</v>
      </c>
      <c r="L79" s="472"/>
      <c r="M79" s="407"/>
    </row>
    <row r="80" spans="1:13" ht="16.5" customHeight="1">
      <c r="A80" s="243" t="s">
        <v>401</v>
      </c>
      <c r="B80" s="243"/>
      <c r="C80" s="244">
        <v>251</v>
      </c>
      <c r="D80" s="245"/>
      <c r="E80" s="249"/>
      <c r="G80" s="521">
        <v>0</v>
      </c>
      <c r="I80" s="232">
        <v>0</v>
      </c>
      <c r="J80" s="271"/>
      <c r="K80" s="84">
        <v>0</v>
      </c>
      <c r="M80" s="250"/>
    </row>
    <row r="81" spans="1:13" ht="16.5" customHeight="1">
      <c r="A81" s="243" t="s">
        <v>379</v>
      </c>
      <c r="B81" s="243"/>
      <c r="C81" s="244">
        <v>252</v>
      </c>
      <c r="D81" s="245"/>
      <c r="G81" s="521">
        <v>0</v>
      </c>
      <c r="I81" s="232"/>
      <c r="J81" s="84"/>
      <c r="K81" s="84" t="e">
        <f>1857000000-#REF!</f>
        <v>#REF!</v>
      </c>
      <c r="M81" s="250"/>
    </row>
    <row r="82" spans="1:13" ht="16.5" customHeight="1">
      <c r="A82" s="243" t="s">
        <v>289</v>
      </c>
      <c r="B82" s="243"/>
      <c r="C82" s="244">
        <v>258</v>
      </c>
      <c r="D82" s="245"/>
      <c r="E82" s="272" t="s">
        <v>24</v>
      </c>
      <c r="G82" s="521">
        <v>807000000</v>
      </c>
      <c r="I82" s="521">
        <v>807000000</v>
      </c>
      <c r="J82" s="84"/>
      <c r="K82" s="84" t="e">
        <f>#REF!</f>
        <v>#REF!</v>
      </c>
      <c r="M82" s="407"/>
    </row>
    <row r="83" spans="1:13" ht="16.5" customHeight="1">
      <c r="A83" s="243" t="s">
        <v>380</v>
      </c>
      <c r="B83" s="243"/>
      <c r="C83" s="244">
        <v>259</v>
      </c>
      <c r="D83" s="245"/>
      <c r="E83" s="273"/>
      <c r="G83" s="521">
        <v>0</v>
      </c>
      <c r="I83" s="84">
        <v>0</v>
      </c>
      <c r="J83" s="271"/>
      <c r="K83" s="271">
        <v>0</v>
      </c>
      <c r="M83" s="250"/>
    </row>
    <row r="84" spans="1:13" s="270" customFormat="1" ht="16.5" customHeight="1">
      <c r="A84" s="226" t="s">
        <v>434</v>
      </c>
      <c r="B84" s="226"/>
      <c r="C84" s="225">
        <v>260</v>
      </c>
      <c r="D84" s="227"/>
      <c r="E84" s="269"/>
      <c r="G84" s="520">
        <f>SUM(G85:G87)</f>
        <v>2176637924</v>
      </c>
      <c r="I84" s="229">
        <f>SUM(I85:I87)</f>
        <v>3767755905</v>
      </c>
      <c r="J84" s="242"/>
      <c r="K84" s="229">
        <f>SUM(K85:K87)</f>
        <v>2359055006</v>
      </c>
      <c r="L84" s="472"/>
      <c r="M84" s="407"/>
    </row>
    <row r="85" spans="1:13" s="270" customFormat="1" ht="16.5" customHeight="1">
      <c r="A85" s="243" t="s">
        <v>435</v>
      </c>
      <c r="B85" s="243"/>
      <c r="C85" s="244">
        <v>261</v>
      </c>
      <c r="D85" s="227"/>
      <c r="E85" s="272" t="s">
        <v>25</v>
      </c>
      <c r="G85" s="521">
        <v>1926637924</v>
      </c>
      <c r="I85" s="521">
        <v>3722971517</v>
      </c>
      <c r="J85" s="247"/>
      <c r="K85" s="248">
        <v>2359055006</v>
      </c>
      <c r="L85" s="472"/>
      <c r="M85" s="250"/>
    </row>
    <row r="86" spans="1:14" s="270" customFormat="1" ht="16.5" customHeight="1">
      <c r="A86" s="243" t="s">
        <v>436</v>
      </c>
      <c r="B86" s="243"/>
      <c r="C86" s="244">
        <v>262</v>
      </c>
      <c r="D86" s="227"/>
      <c r="E86" s="240"/>
      <c r="F86" s="226"/>
      <c r="G86" s="521">
        <v>0</v>
      </c>
      <c r="H86" s="226"/>
      <c r="I86" s="521">
        <v>0</v>
      </c>
      <c r="J86" s="274"/>
      <c r="K86" s="258">
        <v>0</v>
      </c>
      <c r="L86" s="472"/>
      <c r="M86" s="250"/>
      <c r="N86" s="407"/>
    </row>
    <row r="87" spans="1:13" s="270" customFormat="1" ht="15.75">
      <c r="A87" s="243" t="s">
        <v>437</v>
      </c>
      <c r="B87" s="243"/>
      <c r="C87" s="244">
        <v>268</v>
      </c>
      <c r="D87" s="227"/>
      <c r="E87" s="273"/>
      <c r="F87" s="226"/>
      <c r="G87" s="521">
        <v>250000000</v>
      </c>
      <c r="H87" s="226"/>
      <c r="I87" s="521">
        <v>44784388</v>
      </c>
      <c r="J87" s="243"/>
      <c r="K87" s="248">
        <v>0</v>
      </c>
      <c r="L87" s="472"/>
      <c r="M87" s="250"/>
    </row>
    <row r="88" spans="1:13" ht="1.5" customHeight="1">
      <c r="A88" s="195"/>
      <c r="B88" s="195"/>
      <c r="C88" s="236"/>
      <c r="D88" s="237"/>
      <c r="E88" s="234"/>
      <c r="F88" s="196"/>
      <c r="G88" s="521"/>
      <c r="H88" s="196"/>
      <c r="I88" s="232"/>
      <c r="J88" s="233"/>
      <c r="K88" s="232"/>
      <c r="M88" s="250"/>
    </row>
    <row r="89" spans="1:14" ht="19.5" customHeight="1" thickBot="1">
      <c r="A89" s="276" t="s">
        <v>381</v>
      </c>
      <c r="B89" s="277"/>
      <c r="C89" s="224">
        <v>270</v>
      </c>
      <c r="D89" s="278"/>
      <c r="E89" s="234"/>
      <c r="F89" s="228"/>
      <c r="G89" s="523">
        <f>G18+G51</f>
        <v>319455236687</v>
      </c>
      <c r="H89" s="228"/>
      <c r="I89" s="279">
        <f>I18+I51</f>
        <v>276028582784</v>
      </c>
      <c r="J89" s="280"/>
      <c r="K89" s="279" t="e">
        <f>K18+K51</f>
        <v>#REF!</v>
      </c>
      <c r="L89" s="547"/>
      <c r="M89" s="407"/>
      <c r="N89" s="250"/>
    </row>
    <row r="90" spans="1:13" ht="15.75" hidden="1" thickTop="1">
      <c r="A90" s="236"/>
      <c r="B90" s="236"/>
      <c r="C90" s="236"/>
      <c r="D90" s="236"/>
      <c r="E90" s="236"/>
      <c r="F90" s="236"/>
      <c r="G90" s="524"/>
      <c r="H90" s="236"/>
      <c r="J90" s="236"/>
      <c r="K90" s="236"/>
      <c r="M90" s="250"/>
    </row>
    <row r="91" spans="1:13" ht="15.75" hidden="1" thickTop="1">
      <c r="A91" s="236"/>
      <c r="B91" s="236"/>
      <c r="C91" s="236"/>
      <c r="D91" s="236"/>
      <c r="E91" s="236"/>
      <c r="F91" s="236"/>
      <c r="G91" s="524"/>
      <c r="H91" s="236"/>
      <c r="J91" s="236"/>
      <c r="K91" s="236"/>
      <c r="M91" s="250"/>
    </row>
    <row r="92" spans="1:13" ht="2.25" customHeight="1" thickTop="1">
      <c r="A92" s="236"/>
      <c r="B92" s="236"/>
      <c r="C92" s="236"/>
      <c r="D92" s="236"/>
      <c r="E92" s="236"/>
      <c r="F92" s="236"/>
      <c r="G92" s="524"/>
      <c r="H92" s="236"/>
      <c r="J92" s="236"/>
      <c r="K92" s="236"/>
      <c r="M92" s="250"/>
    </row>
    <row r="93" spans="1:13" ht="19.5" customHeight="1">
      <c r="A93" s="236"/>
      <c r="B93" s="236"/>
      <c r="C93" s="236"/>
      <c r="D93" s="236"/>
      <c r="E93" s="236"/>
      <c r="F93" s="236"/>
      <c r="G93" s="524"/>
      <c r="H93" s="236"/>
      <c r="J93" s="236"/>
      <c r="K93" s="236"/>
      <c r="L93" s="473"/>
      <c r="M93" s="250"/>
    </row>
    <row r="94" spans="1:13" ht="18" customHeight="1">
      <c r="A94" s="281" t="str">
        <f>A1</f>
        <v>CÔNG TY CỔ PHẦN XÂY DỰNG NĂNG LƯỢNG</v>
      </c>
      <c r="B94" s="282"/>
      <c r="C94" s="200"/>
      <c r="D94" s="200"/>
      <c r="F94" s="203"/>
      <c r="G94" s="203"/>
      <c r="H94" s="203"/>
      <c r="I94" s="203" t="str">
        <f>I1</f>
        <v>BÁO CÁO TÀI CHÍNH</v>
      </c>
      <c r="J94" s="203"/>
      <c r="K94" s="203"/>
      <c r="L94" s="473"/>
      <c r="M94" s="250"/>
    </row>
    <row r="95" spans="1:13" ht="16.5" customHeight="1">
      <c r="A95" s="283" t="str">
        <f>A2</f>
        <v>Tầng 7, tòa nhà Sông Đà, đường Phạm Hùng, Mỹ Đình, Từ Liêm, Hà Nội</v>
      </c>
      <c r="B95" s="205"/>
      <c r="C95" s="206"/>
      <c r="D95" s="206"/>
      <c r="E95" s="207"/>
      <c r="F95" s="587" t="str">
        <f>I2</f>
        <v>Từ 01/01/2010 đến 30/06/2010</v>
      </c>
      <c r="G95" s="587"/>
      <c r="H95" s="587"/>
      <c r="I95" s="587"/>
      <c r="J95" s="587"/>
      <c r="K95" s="587"/>
      <c r="M95" s="250"/>
    </row>
    <row r="96" spans="1:13" ht="16.5" customHeight="1">
      <c r="A96" s="205" t="str">
        <f>A3</f>
        <v>Tel: (84 4) 3 7 684 111                             Fax: (84 4) 3 7 684 644</v>
      </c>
      <c r="B96" s="205"/>
      <c r="C96" s="206"/>
      <c r="D96" s="206"/>
      <c r="E96" s="207"/>
      <c r="F96" s="210"/>
      <c r="G96" s="517"/>
      <c r="H96" s="210"/>
      <c r="I96" s="211"/>
      <c r="J96" s="210"/>
      <c r="K96" s="210"/>
      <c r="M96" s="250"/>
    </row>
    <row r="97" spans="1:13" ht="3" customHeight="1">
      <c r="A97" s="215"/>
      <c r="B97" s="215"/>
      <c r="C97" s="214"/>
      <c r="D97" s="214"/>
      <c r="E97" s="214"/>
      <c r="F97" s="215"/>
      <c r="G97" s="518"/>
      <c r="H97" s="215"/>
      <c r="I97" s="216"/>
      <c r="J97" s="215"/>
      <c r="K97" s="215"/>
      <c r="M97" s="250"/>
    </row>
    <row r="98" spans="1:13" ht="7.5" customHeight="1">
      <c r="A98" s="236"/>
      <c r="B98" s="236"/>
      <c r="C98" s="236"/>
      <c r="D98" s="236"/>
      <c r="E98" s="236"/>
      <c r="F98" s="236"/>
      <c r="G98" s="524"/>
      <c r="H98" s="236"/>
      <c r="I98" s="284"/>
      <c r="J98" s="236"/>
      <c r="K98" s="236"/>
      <c r="M98" s="250"/>
    </row>
    <row r="99" spans="1:13" ht="15" hidden="1">
      <c r="A99" s="236"/>
      <c r="B99" s="236"/>
      <c r="C99" s="236"/>
      <c r="D99" s="236"/>
      <c r="E99" s="236"/>
      <c r="F99" s="236"/>
      <c r="G99" s="524"/>
      <c r="H99" s="236"/>
      <c r="I99" s="284"/>
      <c r="J99" s="236"/>
      <c r="K99" s="236"/>
      <c r="M99" s="250"/>
    </row>
    <row r="100" spans="1:13" ht="15.75">
      <c r="A100" s="236"/>
      <c r="B100" s="236"/>
      <c r="C100" s="236"/>
      <c r="D100" s="236"/>
      <c r="E100" s="236"/>
      <c r="F100" s="236"/>
      <c r="G100" s="524"/>
      <c r="H100" s="236"/>
      <c r="I100" s="284"/>
      <c r="J100" s="236"/>
      <c r="K100" s="95" t="s">
        <v>217</v>
      </c>
      <c r="M100" s="250"/>
    </row>
    <row r="101" spans="1:13" ht="18" customHeight="1">
      <c r="A101" s="588" t="s">
        <v>309</v>
      </c>
      <c r="B101" s="588"/>
      <c r="C101" s="588"/>
      <c r="D101" s="588"/>
      <c r="E101" s="588"/>
      <c r="F101" s="588"/>
      <c r="G101" s="588"/>
      <c r="H101" s="588"/>
      <c r="I101" s="588"/>
      <c r="J101" s="588"/>
      <c r="K101" s="588"/>
      <c r="M101" s="250"/>
    </row>
    <row r="102" spans="1:13" ht="15">
      <c r="A102" s="589" t="str">
        <f>A12</f>
        <v>Tõ 01/01/2010 ®Õn 30/06/2010</v>
      </c>
      <c r="B102" s="589"/>
      <c r="C102" s="589"/>
      <c r="D102" s="589"/>
      <c r="E102" s="589"/>
      <c r="F102" s="589"/>
      <c r="G102" s="589"/>
      <c r="H102" s="589"/>
      <c r="I102" s="589"/>
      <c r="J102" s="589"/>
      <c r="K102" s="589"/>
      <c r="M102" s="250"/>
    </row>
    <row r="103" spans="1:13" ht="13.5" customHeight="1">
      <c r="A103" s="590" t="s">
        <v>225</v>
      </c>
      <c r="B103" s="590"/>
      <c r="C103" s="590"/>
      <c r="D103" s="590"/>
      <c r="E103" s="590"/>
      <c r="F103" s="590"/>
      <c r="G103" s="590"/>
      <c r="H103" s="590"/>
      <c r="I103" s="590"/>
      <c r="J103" s="590"/>
      <c r="K103" s="590"/>
      <c r="L103" s="473"/>
      <c r="M103" s="250"/>
    </row>
    <row r="104" spans="1:13" ht="15" customHeight="1">
      <c r="A104" s="195"/>
      <c r="B104" s="195"/>
      <c r="C104" s="206"/>
      <c r="D104" s="206"/>
      <c r="E104" s="206"/>
      <c r="F104" s="195"/>
      <c r="G104" s="519"/>
      <c r="H104" s="195"/>
      <c r="I104" s="218"/>
      <c r="J104" s="195"/>
      <c r="K104" s="219" t="s">
        <v>243</v>
      </c>
      <c r="L104" s="557"/>
      <c r="M104" s="557"/>
    </row>
    <row r="105" spans="1:13" ht="15.75" customHeight="1">
      <c r="A105" s="591" t="s">
        <v>235</v>
      </c>
      <c r="B105" s="195"/>
      <c r="C105" s="583" t="s">
        <v>286</v>
      </c>
      <c r="D105" s="221"/>
      <c r="E105" s="583" t="s">
        <v>425</v>
      </c>
      <c r="F105" s="195"/>
      <c r="G105" s="585" t="str">
        <f>G15</f>
        <v>30/06/2010</v>
      </c>
      <c r="H105" s="195"/>
      <c r="I105" s="585" t="s">
        <v>540</v>
      </c>
      <c r="J105" s="222"/>
      <c r="K105" s="566" t="str">
        <f>K15</f>
        <v>01/01/2007</v>
      </c>
      <c r="L105" s="557"/>
      <c r="M105" s="557"/>
    </row>
    <row r="106" spans="1:13" ht="15.75" customHeight="1">
      <c r="A106" s="563"/>
      <c r="B106" s="223"/>
      <c r="C106" s="584"/>
      <c r="D106" s="224"/>
      <c r="E106" s="584"/>
      <c r="F106" s="196"/>
      <c r="G106" s="586"/>
      <c r="H106" s="196"/>
      <c r="I106" s="586"/>
      <c r="J106" s="222"/>
      <c r="K106" s="567"/>
      <c r="L106" s="557"/>
      <c r="M106" s="557"/>
    </row>
    <row r="107" spans="1:13" ht="2.25" customHeight="1">
      <c r="A107" s="195"/>
      <c r="B107" s="195"/>
      <c r="C107" s="206"/>
      <c r="D107" s="206"/>
      <c r="E107" s="236"/>
      <c r="F107" s="196"/>
      <c r="G107" s="525"/>
      <c r="H107" s="196"/>
      <c r="I107" s="218"/>
      <c r="J107" s="195"/>
      <c r="K107" s="195"/>
      <c r="M107" s="250"/>
    </row>
    <row r="108" spans="1:13" s="288" customFormat="1" ht="18.75" customHeight="1">
      <c r="A108" s="223" t="s">
        <v>382</v>
      </c>
      <c r="B108" s="223"/>
      <c r="C108" s="224">
        <v>300</v>
      </c>
      <c r="D108" s="278"/>
      <c r="E108" s="285"/>
      <c r="F108" s="286"/>
      <c r="G108" s="526">
        <f>G109+G120</f>
        <v>277111041479</v>
      </c>
      <c r="H108" s="286"/>
      <c r="I108" s="287">
        <f>I109+I120</f>
        <v>236381496964</v>
      </c>
      <c r="J108" s="286"/>
      <c r="K108" s="287">
        <f>K109+K120</f>
        <v>126127711202</v>
      </c>
      <c r="L108" s="474"/>
      <c r="M108" s="407"/>
    </row>
    <row r="109" spans="1:13" ht="18" customHeight="1">
      <c r="A109" s="226" t="s">
        <v>236</v>
      </c>
      <c r="B109" s="226"/>
      <c r="C109" s="225">
        <v>310</v>
      </c>
      <c r="D109" s="227"/>
      <c r="E109" s="234"/>
      <c r="F109" s="289"/>
      <c r="G109" s="522">
        <f>SUM(G110:G119)</f>
        <v>276785420479</v>
      </c>
      <c r="H109" s="522">
        <f>SUM(H110:H119)</f>
        <v>0</v>
      </c>
      <c r="I109" s="522">
        <f>SUM(I110:I119)</f>
        <v>236055875964</v>
      </c>
      <c r="J109" s="289"/>
      <c r="K109" s="228">
        <f>SUM(K110:K118)</f>
        <v>60937110616</v>
      </c>
      <c r="M109" s="407"/>
    </row>
    <row r="110" spans="1:13" ht="16.5" customHeight="1">
      <c r="A110" s="195" t="s">
        <v>438</v>
      </c>
      <c r="B110" s="195"/>
      <c r="C110" s="244">
        <v>311</v>
      </c>
      <c r="D110" s="237"/>
      <c r="E110" s="319" t="s">
        <v>26</v>
      </c>
      <c r="F110" s="290"/>
      <c r="G110" s="521">
        <v>150824120829</v>
      </c>
      <c r="H110" s="290"/>
      <c r="I110" s="521">
        <v>126135050996</v>
      </c>
      <c r="J110" s="290"/>
      <c r="K110" s="196">
        <v>35253494428</v>
      </c>
      <c r="M110" s="250"/>
    </row>
    <row r="111" spans="1:13" ht="16.5" customHeight="1">
      <c r="A111" s="195" t="s">
        <v>439</v>
      </c>
      <c r="B111" s="195"/>
      <c r="C111" s="244">
        <v>312</v>
      </c>
      <c r="D111" s="237"/>
      <c r="E111" s="318"/>
      <c r="F111" s="290"/>
      <c r="G111" s="521">
        <f>43146343358</f>
        <v>43146343358</v>
      </c>
      <c r="H111" s="290"/>
      <c r="I111" s="521">
        <v>36356706447</v>
      </c>
      <c r="J111" s="290"/>
      <c r="K111" s="196">
        <v>18064896217</v>
      </c>
      <c r="M111" s="250"/>
    </row>
    <row r="112" spans="1:14" ht="16.5" customHeight="1">
      <c r="A112" s="195" t="s">
        <v>440</v>
      </c>
      <c r="B112" s="195"/>
      <c r="C112" s="244">
        <v>313</v>
      </c>
      <c r="D112" s="237"/>
      <c r="E112" s="545" t="s">
        <v>49</v>
      </c>
      <c r="F112" s="290"/>
      <c r="G112" s="521">
        <v>51578136751</v>
      </c>
      <c r="H112" s="290"/>
      <c r="I112" s="521">
        <v>47395493263</v>
      </c>
      <c r="J112" s="290"/>
      <c r="K112" s="196">
        <v>439904180</v>
      </c>
      <c r="L112" s="473"/>
      <c r="M112" s="250"/>
      <c r="N112" s="250"/>
    </row>
    <row r="113" spans="1:14" ht="16.5" customHeight="1">
      <c r="A113" s="195" t="s">
        <v>337</v>
      </c>
      <c r="B113" s="195"/>
      <c r="C113" s="244">
        <v>314</v>
      </c>
      <c r="D113" s="237"/>
      <c r="E113" s="319" t="s">
        <v>27</v>
      </c>
      <c r="F113" s="290"/>
      <c r="G113" s="521">
        <f>14938958133</f>
        <v>14938958133</v>
      </c>
      <c r="H113" s="290"/>
      <c r="I113" s="521">
        <v>13249888550</v>
      </c>
      <c r="J113" s="290"/>
      <c r="K113" s="196">
        <v>2714197822</v>
      </c>
      <c r="L113" s="533"/>
      <c r="M113" s="250"/>
      <c r="N113" s="250"/>
    </row>
    <row r="114" spans="1:14" ht="16.5" customHeight="1">
      <c r="A114" s="195" t="s">
        <v>383</v>
      </c>
      <c r="B114" s="195"/>
      <c r="C114" s="244">
        <v>315</v>
      </c>
      <c r="D114" s="237"/>
      <c r="E114" s="291"/>
      <c r="F114" s="290"/>
      <c r="G114" s="521">
        <f>6811589497</f>
        <v>6811589497</v>
      </c>
      <c r="H114" s="290"/>
      <c r="I114" s="521">
        <v>10611843268</v>
      </c>
      <c r="J114" s="292"/>
      <c r="K114" s="293">
        <v>2582895855</v>
      </c>
      <c r="M114" s="250"/>
      <c r="N114" s="537"/>
    </row>
    <row r="115" spans="1:13" ht="16.5" customHeight="1">
      <c r="A115" s="195" t="s">
        <v>441</v>
      </c>
      <c r="B115" s="195"/>
      <c r="C115" s="244">
        <v>316</v>
      </c>
      <c r="D115" s="237"/>
      <c r="E115" s="319" t="s">
        <v>28</v>
      </c>
      <c r="F115" s="290"/>
      <c r="G115" s="521">
        <f>9035970621-26803875</f>
        <v>9009166746</v>
      </c>
      <c r="H115" s="290"/>
      <c r="I115" s="521">
        <v>2268091983</v>
      </c>
      <c r="J115" s="290"/>
      <c r="K115" s="196">
        <v>1264254924</v>
      </c>
      <c r="L115" s="473"/>
      <c r="M115" s="250"/>
    </row>
    <row r="116" spans="1:14" ht="16.5" customHeight="1" hidden="1">
      <c r="A116" s="195" t="s">
        <v>442</v>
      </c>
      <c r="B116" s="195"/>
      <c r="C116" s="244">
        <v>317</v>
      </c>
      <c r="D116" s="237"/>
      <c r="F116" s="290"/>
      <c r="G116" s="521"/>
      <c r="H116" s="290"/>
      <c r="I116" s="521"/>
      <c r="J116" s="290"/>
      <c r="K116" s="196"/>
      <c r="M116" s="250"/>
      <c r="N116" s="250"/>
    </row>
    <row r="117" spans="1:13" ht="16.5" customHeight="1" hidden="1">
      <c r="A117" s="195" t="s">
        <v>384</v>
      </c>
      <c r="B117" s="195"/>
      <c r="C117" s="244">
        <v>318</v>
      </c>
      <c r="D117" s="237"/>
      <c r="E117" s="249"/>
      <c r="F117" s="294"/>
      <c r="G117" s="521"/>
      <c r="H117" s="294"/>
      <c r="I117" s="521"/>
      <c r="J117" s="290"/>
      <c r="K117" s="84"/>
      <c r="M117" s="250"/>
    </row>
    <row r="118" spans="1:13" ht="16.5" customHeight="1">
      <c r="A118" s="195" t="s">
        <v>283</v>
      </c>
      <c r="B118" s="195"/>
      <c r="C118" s="244">
        <v>319</v>
      </c>
      <c r="D118" s="237"/>
      <c r="E118" s="319" t="s">
        <v>148</v>
      </c>
      <c r="F118" s="294"/>
      <c r="G118" s="521">
        <f>2086453114+369416765</f>
        <v>2455869879</v>
      </c>
      <c r="H118" s="294"/>
      <c r="I118" s="521">
        <f>1396652564+194270057-450</f>
        <v>1590922171</v>
      </c>
      <c r="J118" s="290"/>
      <c r="K118" s="84">
        <v>617467190</v>
      </c>
      <c r="L118" s="473"/>
      <c r="M118" s="250"/>
    </row>
    <row r="119" spans="1:13" ht="16.5" customHeight="1">
      <c r="A119" s="195" t="s">
        <v>542</v>
      </c>
      <c r="B119" s="195"/>
      <c r="C119" s="244">
        <v>323</v>
      </c>
      <c r="D119" s="237"/>
      <c r="E119" s="319"/>
      <c r="F119" s="294"/>
      <c r="G119" s="521">
        <v>-1978764714</v>
      </c>
      <c r="H119" s="296"/>
      <c r="I119" s="521">
        <v>-1552120714</v>
      </c>
      <c r="J119" s="290"/>
      <c r="K119" s="84"/>
      <c r="L119" s="473"/>
      <c r="M119" s="250"/>
    </row>
    <row r="120" spans="1:13" ht="16.5" customHeight="1">
      <c r="A120" s="226" t="s">
        <v>267</v>
      </c>
      <c r="B120" s="226"/>
      <c r="C120" s="225">
        <v>330</v>
      </c>
      <c r="D120" s="227"/>
      <c r="E120" s="234"/>
      <c r="F120" s="296"/>
      <c r="G120" s="522">
        <f>SUM(G121:G128)</f>
        <v>325621000</v>
      </c>
      <c r="H120" s="296"/>
      <c r="I120" s="228">
        <f>SUM(I121:I128)</f>
        <v>325621000</v>
      </c>
      <c r="J120" s="289"/>
      <c r="K120" s="228">
        <f>SUM(K121:K127)</f>
        <v>65190600586</v>
      </c>
      <c r="M120" s="407"/>
    </row>
    <row r="121" spans="1:13" s="195" customFormat="1" ht="16.5" customHeight="1">
      <c r="A121" s="195" t="s">
        <v>345</v>
      </c>
      <c r="C121" s="236">
        <v>331</v>
      </c>
      <c r="G121" s="521">
        <v>0</v>
      </c>
      <c r="I121" s="84">
        <v>0</v>
      </c>
      <c r="K121" s="84">
        <v>0</v>
      </c>
      <c r="L121" s="472"/>
      <c r="M121" s="250"/>
    </row>
    <row r="122" spans="1:13" s="195" customFormat="1" ht="16.5" customHeight="1">
      <c r="A122" s="195" t="s">
        <v>346</v>
      </c>
      <c r="C122" s="236">
        <v>332</v>
      </c>
      <c r="E122" s="249"/>
      <c r="G122" s="521">
        <v>0</v>
      </c>
      <c r="I122" s="84">
        <v>0</v>
      </c>
      <c r="K122" s="84">
        <v>0</v>
      </c>
      <c r="L122" s="472"/>
      <c r="M122" s="250"/>
    </row>
    <row r="123" spans="1:14" ht="16.5" customHeight="1">
      <c r="A123" s="195" t="s">
        <v>347</v>
      </c>
      <c r="B123" s="195"/>
      <c r="C123" s="244">
        <v>333</v>
      </c>
      <c r="D123" s="237"/>
      <c r="E123" s="249"/>
      <c r="F123" s="296"/>
      <c r="G123" s="521">
        <v>0</v>
      </c>
      <c r="H123" s="296"/>
      <c r="I123" s="232">
        <v>0</v>
      </c>
      <c r="J123" s="290"/>
      <c r="K123" s="196"/>
      <c r="M123" s="250"/>
      <c r="N123" s="196"/>
    </row>
    <row r="124" spans="1:14" ht="16.5" customHeight="1">
      <c r="A124" s="195" t="s">
        <v>348</v>
      </c>
      <c r="B124" s="195"/>
      <c r="C124" s="244">
        <v>334</v>
      </c>
      <c r="D124" s="237"/>
      <c r="E124" s="319" t="s">
        <v>29</v>
      </c>
      <c r="F124" s="296"/>
      <c r="G124" s="521">
        <v>174994000</v>
      </c>
      <c r="H124" s="296"/>
      <c r="I124" s="521">
        <v>174994000</v>
      </c>
      <c r="J124" s="290"/>
      <c r="K124" s="196">
        <v>65190600586</v>
      </c>
      <c r="M124" s="250"/>
      <c r="N124" s="196"/>
    </row>
    <row r="125" spans="1:13" ht="16.5" customHeight="1" hidden="1">
      <c r="A125" s="195" t="s">
        <v>349</v>
      </c>
      <c r="B125" s="195"/>
      <c r="C125" s="244">
        <v>335</v>
      </c>
      <c r="D125" s="237"/>
      <c r="E125" s="249"/>
      <c r="F125" s="296"/>
      <c r="G125" s="521"/>
      <c r="H125" s="296"/>
      <c r="I125" s="232"/>
      <c r="J125" s="290"/>
      <c r="K125" s="196"/>
      <c r="M125" s="250"/>
    </row>
    <row r="126" spans="1:13" ht="16.5" customHeight="1" hidden="1">
      <c r="A126" s="195" t="s">
        <v>268</v>
      </c>
      <c r="B126" s="195"/>
      <c r="C126" s="244">
        <v>336</v>
      </c>
      <c r="D126" s="237"/>
      <c r="E126" s="249"/>
      <c r="F126" s="296"/>
      <c r="G126" s="521"/>
      <c r="H126" s="296"/>
      <c r="I126" s="232">
        <v>0</v>
      </c>
      <c r="J126" s="290"/>
      <c r="K126" s="196">
        <v>0</v>
      </c>
      <c r="M126" s="250"/>
    </row>
    <row r="127" spans="1:13" ht="13.5" customHeight="1" hidden="1">
      <c r="A127" s="195" t="s">
        <v>269</v>
      </c>
      <c r="B127" s="195"/>
      <c r="C127" s="244">
        <v>337</v>
      </c>
      <c r="D127" s="237"/>
      <c r="E127" s="249"/>
      <c r="F127" s="296"/>
      <c r="G127" s="521"/>
      <c r="H127" s="296"/>
      <c r="I127" s="196">
        <v>0</v>
      </c>
      <c r="J127" s="290"/>
      <c r="K127" s="196">
        <v>0</v>
      </c>
      <c r="M127" s="250"/>
    </row>
    <row r="128" spans="1:13" ht="13.5" customHeight="1">
      <c r="A128" s="195" t="s">
        <v>523</v>
      </c>
      <c r="B128" s="195"/>
      <c r="C128" s="244">
        <v>336</v>
      </c>
      <c r="D128" s="237"/>
      <c r="E128" s="249"/>
      <c r="F128" s="296"/>
      <c r="G128" s="521">
        <v>150627000</v>
      </c>
      <c r="H128" s="296"/>
      <c r="I128" s="196">
        <v>150627000</v>
      </c>
      <c r="J128" s="290"/>
      <c r="K128" s="196"/>
      <c r="M128" s="250"/>
    </row>
    <row r="129" spans="1:13" ht="2.25" customHeight="1">
      <c r="A129" s="226"/>
      <c r="B129" s="226"/>
      <c r="C129" s="225"/>
      <c r="D129" s="227"/>
      <c r="E129" s="295"/>
      <c r="F129" s="296"/>
      <c r="G129" s="521"/>
      <c r="H129" s="296"/>
      <c r="I129" s="196"/>
      <c r="J129" s="290"/>
      <c r="K129" s="196"/>
      <c r="M129" s="250"/>
    </row>
    <row r="130" spans="1:13" s="288" customFormat="1" ht="18" customHeight="1">
      <c r="A130" s="223" t="s">
        <v>413</v>
      </c>
      <c r="B130" s="223"/>
      <c r="C130" s="224">
        <v>400</v>
      </c>
      <c r="D130" s="278"/>
      <c r="E130" s="297"/>
      <c r="F130" s="298"/>
      <c r="G130" s="526">
        <f>G133+G145</f>
        <v>42344195208</v>
      </c>
      <c r="H130" s="298"/>
      <c r="I130" s="287">
        <f>I133+I145</f>
        <v>39647085820</v>
      </c>
      <c r="J130" s="286"/>
      <c r="K130" s="287">
        <f>K133+K145</f>
        <v>23543478352</v>
      </c>
      <c r="L130" s="472"/>
      <c r="M130" s="407"/>
    </row>
    <row r="131" spans="1:13" s="288" customFormat="1" ht="16.5" customHeight="1">
      <c r="A131" s="223" t="s">
        <v>270</v>
      </c>
      <c r="B131" s="223"/>
      <c r="C131" s="224"/>
      <c r="D131" s="278"/>
      <c r="E131" s="297"/>
      <c r="F131" s="298"/>
      <c r="G131" s="521"/>
      <c r="H131" s="298"/>
      <c r="I131" s="287"/>
      <c r="J131" s="286"/>
      <c r="K131" s="287"/>
      <c r="L131" s="473"/>
      <c r="M131" s="250"/>
    </row>
    <row r="132" spans="1:13" ht="1.5" customHeight="1">
      <c r="A132" s="226"/>
      <c r="B132" s="226"/>
      <c r="C132" s="225"/>
      <c r="D132" s="227"/>
      <c r="E132" s="295"/>
      <c r="F132" s="299"/>
      <c r="G132" s="521"/>
      <c r="H132" s="299"/>
      <c r="I132" s="228"/>
      <c r="J132" s="289"/>
      <c r="K132" s="196"/>
      <c r="M132" s="250"/>
    </row>
    <row r="133" spans="1:13" ht="16.5" customHeight="1">
      <c r="A133" s="226" t="s">
        <v>350</v>
      </c>
      <c r="B133" s="226"/>
      <c r="C133" s="225">
        <v>410</v>
      </c>
      <c r="D133" s="227"/>
      <c r="E133" s="320" t="s">
        <v>30</v>
      </c>
      <c r="F133" s="299"/>
      <c r="G133" s="522">
        <f>SUM(G134:G144)</f>
        <v>42344195208</v>
      </c>
      <c r="H133" s="299"/>
      <c r="I133" s="228">
        <f>SUM(I134:I144)</f>
        <v>39647085820</v>
      </c>
      <c r="J133" s="289"/>
      <c r="K133" s="228">
        <f>SUM(K134:K144)</f>
        <v>23543478352</v>
      </c>
      <c r="M133" s="407"/>
    </row>
    <row r="134" spans="1:13" s="195" customFormat="1" ht="16.5" customHeight="1">
      <c r="A134" s="300" t="s">
        <v>351</v>
      </c>
      <c r="C134" s="236">
        <v>411</v>
      </c>
      <c r="E134" s="249"/>
      <c r="G134" s="521">
        <f>I134</f>
        <v>32500000000</v>
      </c>
      <c r="I134" s="521">
        <v>32500000000</v>
      </c>
      <c r="K134" s="84">
        <v>20000000000</v>
      </c>
      <c r="L134" s="473"/>
      <c r="M134" s="250"/>
    </row>
    <row r="135" spans="1:13" s="195" customFormat="1" ht="16.5" customHeight="1">
      <c r="A135" s="195" t="s">
        <v>352</v>
      </c>
      <c r="C135" s="236">
        <v>412</v>
      </c>
      <c r="G135" s="521">
        <f>I135</f>
        <v>3103800000</v>
      </c>
      <c r="I135" s="521">
        <v>3103800000</v>
      </c>
      <c r="J135" s="290"/>
      <c r="K135" s="232">
        <v>0</v>
      </c>
      <c r="L135" s="472"/>
      <c r="M135" s="250"/>
    </row>
    <row r="136" spans="1:13" s="195" customFormat="1" ht="16.5" customHeight="1" hidden="1">
      <c r="A136" s="195" t="s">
        <v>271</v>
      </c>
      <c r="C136" s="236">
        <v>413</v>
      </c>
      <c r="G136" s="521"/>
      <c r="I136" s="521"/>
      <c r="K136" s="84">
        <v>0</v>
      </c>
      <c r="L136" s="472"/>
      <c r="M136" s="250"/>
    </row>
    <row r="137" spans="1:13" s="195" customFormat="1" ht="16.5" customHeight="1" hidden="1">
      <c r="A137" s="195" t="s">
        <v>353</v>
      </c>
      <c r="C137" s="236">
        <v>414</v>
      </c>
      <c r="G137" s="521"/>
      <c r="I137" s="521"/>
      <c r="K137" s="84">
        <v>0</v>
      </c>
      <c r="L137" s="472"/>
      <c r="M137" s="250"/>
    </row>
    <row r="138" spans="1:13" s="195" customFormat="1" ht="16.5" customHeight="1" hidden="1">
      <c r="A138" s="195" t="s">
        <v>354</v>
      </c>
      <c r="C138" s="236">
        <v>415</v>
      </c>
      <c r="G138" s="521"/>
      <c r="I138" s="521"/>
      <c r="K138" s="84">
        <v>0</v>
      </c>
      <c r="L138" s="472"/>
      <c r="M138" s="250"/>
    </row>
    <row r="139" spans="1:13" ht="16.5" customHeight="1" hidden="1">
      <c r="A139" s="195" t="s">
        <v>355</v>
      </c>
      <c r="B139" s="195"/>
      <c r="C139" s="236">
        <v>416</v>
      </c>
      <c r="D139" s="237"/>
      <c r="E139" s="295"/>
      <c r="F139" s="296"/>
      <c r="G139" s="521"/>
      <c r="H139" s="296"/>
      <c r="I139" s="521"/>
      <c r="J139" s="290"/>
      <c r="K139" s="84">
        <v>0</v>
      </c>
      <c r="M139" s="250"/>
    </row>
    <row r="140" spans="1:13" ht="16.5" customHeight="1" hidden="1">
      <c r="A140" s="195" t="s">
        <v>458</v>
      </c>
      <c r="B140" s="195"/>
      <c r="C140" s="236">
        <v>417</v>
      </c>
      <c r="D140" s="237"/>
      <c r="E140" s="249"/>
      <c r="F140" s="290"/>
      <c r="G140" s="521"/>
      <c r="H140" s="290"/>
      <c r="I140" s="521"/>
      <c r="J140" s="290"/>
      <c r="K140" s="232">
        <v>0</v>
      </c>
      <c r="M140" s="250"/>
    </row>
    <row r="141" spans="1:13" ht="16.5" customHeight="1">
      <c r="A141" s="195" t="s">
        <v>459</v>
      </c>
      <c r="B141" s="195"/>
      <c r="C141" s="236">
        <v>418</v>
      </c>
      <c r="D141" s="237"/>
      <c r="E141" s="249"/>
      <c r="F141" s="290"/>
      <c r="G141" s="521">
        <f>I141</f>
        <v>175669647</v>
      </c>
      <c r="H141" s="290"/>
      <c r="I141" s="521">
        <v>175669647</v>
      </c>
      <c r="J141" s="290"/>
      <c r="K141" s="232">
        <v>75669647</v>
      </c>
      <c r="L141" s="473"/>
      <c r="M141" s="250"/>
    </row>
    <row r="142" spans="1:13" ht="16.5" customHeight="1">
      <c r="A142" s="195" t="s">
        <v>460</v>
      </c>
      <c r="B142" s="195"/>
      <c r="C142" s="236">
        <v>419</v>
      </c>
      <c r="D142" s="237"/>
      <c r="E142" s="249"/>
      <c r="F142" s="290"/>
      <c r="G142" s="521"/>
      <c r="H142" s="290"/>
      <c r="I142" s="521"/>
      <c r="J142" s="290"/>
      <c r="K142" s="84">
        <v>0</v>
      </c>
      <c r="L142" s="473"/>
      <c r="M142" s="250"/>
    </row>
    <row r="143" spans="1:13" ht="16.5" customHeight="1">
      <c r="A143" s="195" t="s">
        <v>461</v>
      </c>
      <c r="B143" s="195"/>
      <c r="C143" s="236">
        <v>420</v>
      </c>
      <c r="D143" s="237"/>
      <c r="E143" s="295"/>
      <c r="F143" s="290"/>
      <c r="G143" s="521">
        <f>6564725561</f>
        <v>6564725561</v>
      </c>
      <c r="H143" s="290"/>
      <c r="I143" s="521">
        <v>3867616173</v>
      </c>
      <c r="J143" s="290"/>
      <c r="K143" s="84">
        <v>3467808705</v>
      </c>
      <c r="L143" s="473"/>
      <c r="M143" s="250"/>
    </row>
    <row r="144" spans="1:14" ht="16.5" customHeight="1">
      <c r="A144" s="195" t="s">
        <v>462</v>
      </c>
      <c r="B144" s="195"/>
      <c r="C144" s="236">
        <v>421</v>
      </c>
      <c r="D144" s="237"/>
      <c r="E144" s="295"/>
      <c r="F144" s="290"/>
      <c r="G144" s="521"/>
      <c r="H144" s="290"/>
      <c r="I144" s="232"/>
      <c r="J144" s="290"/>
      <c r="K144" s="84">
        <v>0</v>
      </c>
      <c r="M144" s="250"/>
      <c r="N144" s="250"/>
    </row>
    <row r="145" spans="1:13" s="270" customFormat="1" ht="16.5" customHeight="1">
      <c r="A145" s="226" t="s">
        <v>272</v>
      </c>
      <c r="B145" s="226"/>
      <c r="C145" s="225">
        <v>430</v>
      </c>
      <c r="D145" s="227"/>
      <c r="E145" s="320"/>
      <c r="F145" s="289"/>
      <c r="G145" s="522">
        <f>SUM(G146:H147)</f>
        <v>0</v>
      </c>
      <c r="H145" s="522">
        <f>SUM(H146:I147)</f>
        <v>0</v>
      </c>
      <c r="I145" s="522">
        <f>SUM(I146:J147)</f>
        <v>0</v>
      </c>
      <c r="J145" s="289"/>
      <c r="K145" s="228">
        <f>SUM(K146:K147)</f>
        <v>0</v>
      </c>
      <c r="L145" s="473"/>
      <c r="M145" s="407"/>
    </row>
    <row r="146" spans="1:13" ht="16.5" customHeight="1">
      <c r="A146" s="195" t="s">
        <v>51</v>
      </c>
      <c r="B146" s="195"/>
      <c r="C146" s="244">
        <v>432</v>
      </c>
      <c r="D146" s="237"/>
      <c r="E146" s="295"/>
      <c r="F146" s="290"/>
      <c r="G146" s="521"/>
      <c r="H146" s="290"/>
      <c r="I146" s="232"/>
      <c r="J146" s="290"/>
      <c r="K146" s="196">
        <v>0</v>
      </c>
      <c r="M146" s="250"/>
    </row>
    <row r="147" spans="1:13" ht="16.5" customHeight="1">
      <c r="A147" s="195" t="s">
        <v>52</v>
      </c>
      <c r="B147" s="195"/>
      <c r="C147" s="244">
        <v>433</v>
      </c>
      <c r="D147" s="237"/>
      <c r="E147" s="295"/>
      <c r="F147" s="290"/>
      <c r="G147" s="521"/>
      <c r="H147" s="290"/>
      <c r="I147" s="232"/>
      <c r="J147" s="290"/>
      <c r="K147" s="196">
        <v>0</v>
      </c>
      <c r="M147" s="250"/>
    </row>
    <row r="148" spans="1:13" ht="3.75" customHeight="1">
      <c r="A148" s="195"/>
      <c r="B148" s="195"/>
      <c r="C148" s="236"/>
      <c r="D148" s="237"/>
      <c r="E148" s="295"/>
      <c r="F148" s="290"/>
      <c r="G148" s="521"/>
      <c r="H148" s="290"/>
      <c r="I148" s="196"/>
      <c r="J148" s="290"/>
      <c r="K148" s="196"/>
      <c r="M148" s="250"/>
    </row>
    <row r="149" spans="1:13" ht="21" customHeight="1" thickBot="1">
      <c r="A149" s="276" t="s">
        <v>447</v>
      </c>
      <c r="B149" s="277"/>
      <c r="C149" s="224">
        <v>440</v>
      </c>
      <c r="D149" s="278"/>
      <c r="E149" s="295"/>
      <c r="F149" s="289"/>
      <c r="G149" s="515">
        <f>G108+G130</f>
        <v>319455236687</v>
      </c>
      <c r="H149" s="289"/>
      <c r="I149" s="301">
        <f>I108+I130</f>
        <v>276028582784</v>
      </c>
      <c r="J149" s="302"/>
      <c r="K149" s="301">
        <f>K108+K130</f>
        <v>149671189554</v>
      </c>
      <c r="L149" s="473"/>
      <c r="M149" s="407"/>
    </row>
    <row r="150" spans="1:11" ht="3" customHeight="1" thickTop="1">
      <c r="A150" s="303"/>
      <c r="B150" s="303"/>
      <c r="C150" s="304"/>
      <c r="D150" s="304"/>
      <c r="E150" s="305"/>
      <c r="F150" s="306"/>
      <c r="G150" s="527"/>
      <c r="H150" s="306"/>
      <c r="I150" s="307"/>
      <c r="J150" s="307"/>
      <c r="K150" s="307">
        <f>I149-I89</f>
        <v>0</v>
      </c>
    </row>
    <row r="151" spans="1:11" ht="17.25" customHeight="1">
      <c r="A151" s="250"/>
      <c r="B151" s="250"/>
      <c r="C151" s="308"/>
      <c r="D151" s="308"/>
      <c r="F151" s="309"/>
      <c r="G151" s="571" t="s">
        <v>536</v>
      </c>
      <c r="H151" s="571"/>
      <c r="I151" s="571"/>
      <c r="J151" s="310"/>
      <c r="K151" s="310"/>
    </row>
    <row r="152" spans="1:11" ht="17.25" customHeight="1">
      <c r="A152" s="250"/>
      <c r="B152" s="250"/>
      <c r="C152" s="308"/>
      <c r="D152" s="308"/>
      <c r="E152" s="568" t="s">
        <v>202</v>
      </c>
      <c r="F152" s="568"/>
      <c r="G152" s="568"/>
      <c r="H152" s="568"/>
      <c r="I152" s="568"/>
      <c r="J152" s="568"/>
      <c r="K152" s="568"/>
    </row>
    <row r="153" spans="1:11" ht="3" customHeight="1">
      <c r="A153" s="243"/>
      <c r="B153" s="243"/>
      <c r="C153" s="311"/>
      <c r="D153" s="311"/>
      <c r="E153" s="312"/>
      <c r="F153" s="312"/>
      <c r="G153" s="528"/>
      <c r="H153" s="312"/>
      <c r="I153" s="312"/>
      <c r="J153" s="312"/>
      <c r="K153" s="312"/>
    </row>
    <row r="154" spans="1:13" s="270" customFormat="1" ht="15.75" customHeight="1">
      <c r="A154" s="313" t="s">
        <v>284</v>
      </c>
      <c r="B154" s="314"/>
      <c r="C154" s="565"/>
      <c r="D154" s="565"/>
      <c r="E154" s="565"/>
      <c r="F154" s="314"/>
      <c r="G154" s="569" t="s">
        <v>373</v>
      </c>
      <c r="H154" s="569"/>
      <c r="I154" s="569"/>
      <c r="J154" s="569"/>
      <c r="K154" s="569"/>
      <c r="L154" s="535"/>
      <c r="M154" s="535"/>
    </row>
    <row r="155" spans="1:11" ht="22.5" customHeight="1">
      <c r="A155" s="315"/>
      <c r="B155" s="315"/>
      <c r="C155" s="315"/>
      <c r="D155" s="315"/>
      <c r="E155" s="316"/>
      <c r="F155" s="316"/>
      <c r="G155" s="529"/>
      <c r="H155" s="316"/>
      <c r="I155" s="317"/>
      <c r="J155" s="316"/>
      <c r="K155" s="317"/>
    </row>
    <row r="156" spans="1:11" ht="17.25" customHeight="1">
      <c r="A156" s="315"/>
      <c r="B156" s="315"/>
      <c r="C156" s="315"/>
      <c r="D156" s="315"/>
      <c r="E156" s="316"/>
      <c r="F156" s="316"/>
      <c r="G156" s="529"/>
      <c r="H156" s="316"/>
      <c r="J156" s="316"/>
      <c r="K156" s="317"/>
    </row>
    <row r="157" spans="1:11" ht="15" customHeight="1">
      <c r="A157" s="316"/>
      <c r="B157" s="316"/>
      <c r="C157" s="316"/>
      <c r="D157" s="316"/>
      <c r="E157" s="316"/>
      <c r="F157" s="316"/>
      <c r="G157" s="549"/>
      <c r="H157" s="316"/>
      <c r="I157" s="317"/>
      <c r="J157" s="316"/>
      <c r="K157" s="316"/>
    </row>
    <row r="158" spans="1:11" ht="15" customHeight="1">
      <c r="A158" s="316"/>
      <c r="B158" s="316"/>
      <c r="C158" s="316"/>
      <c r="D158" s="316"/>
      <c r="E158" s="316"/>
      <c r="F158" s="316"/>
      <c r="G158" s="529"/>
      <c r="H158" s="316"/>
      <c r="I158" s="317"/>
      <c r="J158" s="316"/>
      <c r="K158" s="316"/>
    </row>
    <row r="159" spans="1:11" ht="15" customHeight="1">
      <c r="A159" s="316"/>
      <c r="B159" s="316"/>
      <c r="C159" s="565"/>
      <c r="D159" s="565"/>
      <c r="E159" s="565"/>
      <c r="F159" s="316"/>
      <c r="G159" s="529"/>
      <c r="H159" s="316"/>
      <c r="I159" s="317"/>
      <c r="J159" s="316"/>
      <c r="K159" s="316"/>
    </row>
    <row r="160" spans="1:12" s="322" customFormat="1" ht="18" customHeight="1">
      <c r="A160" s="321" t="s">
        <v>525</v>
      </c>
      <c r="B160" s="564"/>
      <c r="C160" s="564"/>
      <c r="D160" s="564"/>
      <c r="E160" s="564"/>
      <c r="F160" s="564"/>
      <c r="G160" s="570" t="s">
        <v>524</v>
      </c>
      <c r="H160" s="570"/>
      <c r="I160" s="570"/>
      <c r="J160" s="570"/>
      <c r="K160" s="570"/>
      <c r="L160" s="475"/>
    </row>
    <row r="167" ht="15">
      <c r="I167" s="317"/>
    </row>
  </sheetData>
  <mergeCells count="30">
    <mergeCell ref="M15:M16"/>
    <mergeCell ref="M104:M106"/>
    <mergeCell ref="L15:L16"/>
    <mergeCell ref="L104:L106"/>
    <mergeCell ref="B160:F160"/>
    <mergeCell ref="C159:E159"/>
    <mergeCell ref="K105:K106"/>
    <mergeCell ref="E152:K152"/>
    <mergeCell ref="C154:E154"/>
    <mergeCell ref="G154:K154"/>
    <mergeCell ref="G160:K160"/>
    <mergeCell ref="G151:I151"/>
    <mergeCell ref="A105:A106"/>
    <mergeCell ref="C105:C106"/>
    <mergeCell ref="E105:E106"/>
    <mergeCell ref="I105:I106"/>
    <mergeCell ref="G105:G106"/>
    <mergeCell ref="F95:K95"/>
    <mergeCell ref="A101:K101"/>
    <mergeCell ref="A102:K102"/>
    <mergeCell ref="A103:K103"/>
    <mergeCell ref="I5:K5"/>
    <mergeCell ref="A11:K11"/>
    <mergeCell ref="A12:K12"/>
    <mergeCell ref="K15:K16"/>
    <mergeCell ref="A15:A16"/>
    <mergeCell ref="C15:C16"/>
    <mergeCell ref="E15:E16"/>
    <mergeCell ref="I15:I16"/>
    <mergeCell ref="G15:G16"/>
  </mergeCells>
  <printOptions horizontalCentered="1"/>
  <pageMargins left="0.68" right="0.38" top="0.17" bottom="0.12" header="0.24" footer="0.17"/>
  <pageSetup firstPageNumber="6" useFirstPageNumber="1" horizontalDpi="300" verticalDpi="300" orientation="portrait" paperSize="9" scale="98" r:id="rId1"/>
</worksheet>
</file>

<file path=xl/worksheets/sheet1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6.09765625" style="72" customWidth="1"/>
    <col min="2" max="2" width="1.1015625" style="72" customWidth="1"/>
    <col min="3" max="3" width="28.09765625" style="72" customWidth="1"/>
    <col min="4" max="16384" width="8" style="72" customWidth="1"/>
  </cols>
  <sheetData>
    <row r="1" spans="1:3" ht="15">
      <c r="A1" s="61"/>
      <c r="C1" s="61"/>
    </row>
    <row r="2" ht="15.75" thickBot="1">
      <c r="A2" s="61"/>
    </row>
    <row r="3" spans="1:3" ht="15.75" thickBot="1">
      <c r="A3" s="61"/>
      <c r="C3" s="61"/>
    </row>
    <row r="4" spans="1:3" ht="15">
      <c r="A4" s="61"/>
      <c r="C4" s="61"/>
    </row>
    <row r="5" ht="15">
      <c r="C5" s="61"/>
    </row>
    <row r="6" ht="15.75" thickBot="1">
      <c r="C6" s="61"/>
    </row>
    <row r="7" spans="1:3" ht="15">
      <c r="A7" s="61"/>
      <c r="C7" s="61"/>
    </row>
    <row r="8" spans="1:3" ht="15">
      <c r="A8" s="61"/>
      <c r="C8" s="61"/>
    </row>
    <row r="9" spans="1:3" ht="15">
      <c r="A9" s="61"/>
      <c r="C9" s="61"/>
    </row>
    <row r="10" spans="1:3" ht="15">
      <c r="A10" s="61"/>
      <c r="C10" s="61"/>
    </row>
    <row r="11" spans="1:3" ht="15.75" thickBot="1">
      <c r="A11" s="61"/>
      <c r="C11" s="61"/>
    </row>
    <row r="12" ht="15">
      <c r="C12" s="61"/>
    </row>
    <row r="13" ht="15.75" thickBot="1">
      <c r="C13" s="61"/>
    </row>
    <row r="14" spans="1:3" ht="15.75" thickBot="1">
      <c r="A14" s="61"/>
      <c r="C14" s="61"/>
    </row>
    <row r="15" ht="15">
      <c r="A15" s="61"/>
    </row>
    <row r="16" ht="15.75" thickBot="1">
      <c r="A16" s="61"/>
    </row>
    <row r="17" spans="1:3" ht="15.75" thickBot="1">
      <c r="A17" s="61"/>
      <c r="C17" s="61"/>
    </row>
    <row r="18" ht="15">
      <c r="C18" s="61"/>
    </row>
    <row r="19" ht="15">
      <c r="C19" s="61"/>
    </row>
    <row r="20" spans="1:3" ht="15">
      <c r="A20" s="61"/>
      <c r="C20" s="61"/>
    </row>
    <row r="21" spans="1:3" ht="15">
      <c r="A21" s="61"/>
      <c r="C21" s="61"/>
    </row>
    <row r="22" spans="1:3" ht="15">
      <c r="A22" s="61"/>
      <c r="C22" s="61"/>
    </row>
    <row r="23" spans="1:3" ht="15">
      <c r="A23" s="61"/>
      <c r="C23" s="61"/>
    </row>
    <row r="24" ht="15">
      <c r="A24" s="61"/>
    </row>
    <row r="25" ht="15">
      <c r="A25" s="61"/>
    </row>
    <row r="26" spans="1:3" ht="15.75" thickBot="1">
      <c r="A26" s="61"/>
      <c r="C26" s="61"/>
    </row>
    <row r="27" spans="1:3" ht="15">
      <c r="A27" s="61"/>
      <c r="C27" s="61"/>
    </row>
    <row r="28" spans="1:3" ht="15">
      <c r="A28" s="61"/>
      <c r="C28" s="61"/>
    </row>
    <row r="29" spans="1:3" ht="15">
      <c r="A29" s="61"/>
      <c r="C29" s="61"/>
    </row>
    <row r="30" spans="1:3" ht="15">
      <c r="A30" s="61"/>
      <c r="C30" s="61"/>
    </row>
    <row r="31" spans="1:3" ht="15">
      <c r="A31" s="61"/>
      <c r="C31" s="61"/>
    </row>
    <row r="32" spans="1:3" ht="15">
      <c r="A32" s="61"/>
      <c r="C32" s="61"/>
    </row>
    <row r="33" spans="1:3" ht="15">
      <c r="A33" s="61"/>
      <c r="C33" s="61"/>
    </row>
    <row r="34" spans="1:3" ht="15">
      <c r="A34" s="61"/>
      <c r="C34" s="61"/>
    </row>
    <row r="35" spans="1:3" ht="15">
      <c r="A35" s="61"/>
      <c r="C35" s="61"/>
    </row>
    <row r="36" spans="1:3" ht="15">
      <c r="A36" s="61"/>
      <c r="C36" s="61"/>
    </row>
    <row r="37" ht="15">
      <c r="A37" s="61"/>
    </row>
    <row r="38" ht="15">
      <c r="A38" s="61"/>
    </row>
    <row r="39" spans="1:3" ht="15">
      <c r="A39" s="61"/>
      <c r="C39" s="61"/>
    </row>
    <row r="40" spans="1:3" ht="15">
      <c r="A40" s="61"/>
      <c r="C40" s="61"/>
    </row>
    <row r="41" spans="1:3" ht="15">
      <c r="A41" s="61"/>
      <c r="C41" s="61"/>
    </row>
  </sheetData>
  <sheetProtection password="8863" sheet="1" objects="1"/>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6.09765625" style="72" customWidth="1"/>
    <col min="2" max="2" width="1.1015625" style="72" customWidth="1"/>
    <col min="3" max="3" width="28.09765625" style="72" customWidth="1"/>
    <col min="4" max="16384" width="8" style="72" customWidth="1"/>
  </cols>
  <sheetData>
    <row r="1" spans="1:3" ht="15">
      <c r="A1" s="61"/>
      <c r="C1" s="54"/>
    </row>
    <row r="2" ht="15.75" thickBot="1">
      <c r="A2" s="61"/>
    </row>
    <row r="3" spans="1:3" ht="15.75" thickBot="1">
      <c r="A3" s="61"/>
      <c r="C3" s="61"/>
    </row>
    <row r="4" spans="1:3" ht="15">
      <c r="A4" s="61"/>
      <c r="C4" s="61"/>
    </row>
    <row r="5" ht="15">
      <c r="C5" s="61"/>
    </row>
    <row r="6" ht="15.75" thickBot="1">
      <c r="C6" s="61"/>
    </row>
    <row r="7" spans="1:3" ht="15">
      <c r="A7" s="61"/>
      <c r="C7" s="61"/>
    </row>
    <row r="8" spans="1:3" ht="15">
      <c r="A8" s="61"/>
      <c r="C8" s="61"/>
    </row>
    <row r="9" spans="1:3" ht="15">
      <c r="A9" s="61"/>
      <c r="C9" s="61"/>
    </row>
    <row r="10" spans="1:3" ht="15">
      <c r="A10" s="61"/>
      <c r="C10" s="61"/>
    </row>
    <row r="11" spans="1:3" ht="15.75" thickBot="1">
      <c r="A11" s="61"/>
      <c r="C11" s="61"/>
    </row>
    <row r="12" ht="15">
      <c r="C12" s="61"/>
    </row>
    <row r="13" ht="15.75" thickBot="1">
      <c r="C13" s="61"/>
    </row>
    <row r="14" spans="1:3" ht="15.75" thickBot="1">
      <c r="A14" s="61"/>
      <c r="C14" s="61"/>
    </row>
    <row r="15" ht="15">
      <c r="A15" s="61"/>
    </row>
    <row r="16" ht="15.75" thickBot="1">
      <c r="A16" s="61"/>
    </row>
    <row r="17" spans="1:3" ht="15.75" thickBot="1">
      <c r="A17" s="61"/>
      <c r="C17" s="61"/>
    </row>
    <row r="18" ht="15">
      <c r="C18" s="61"/>
    </row>
    <row r="19" ht="15">
      <c r="C19" s="61"/>
    </row>
    <row r="20" spans="1:3" ht="15">
      <c r="A20" s="61"/>
      <c r="C20" s="61"/>
    </row>
    <row r="21" spans="1:3" ht="15">
      <c r="A21" s="61"/>
      <c r="C21" s="61"/>
    </row>
    <row r="22" spans="1:3" ht="15">
      <c r="A22" s="61"/>
      <c r="C22" s="61"/>
    </row>
    <row r="23" spans="1:3" ht="15">
      <c r="A23" s="61"/>
      <c r="C23" s="61"/>
    </row>
    <row r="24" ht="15">
      <c r="A24" s="61"/>
    </row>
    <row r="25" ht="15">
      <c r="A25" s="61"/>
    </row>
    <row r="26" spans="1:3" ht="15.75" thickBot="1">
      <c r="A26" s="61"/>
      <c r="C26" s="61"/>
    </row>
    <row r="27" spans="1:3" ht="15">
      <c r="A27" s="61"/>
      <c r="C27" s="61"/>
    </row>
    <row r="28" spans="1:3" ht="15">
      <c r="A28" s="61"/>
      <c r="C28" s="61"/>
    </row>
    <row r="29" spans="1:3" ht="15">
      <c r="A29" s="61"/>
      <c r="C29" s="61"/>
    </row>
    <row r="30" spans="1:3" ht="15">
      <c r="A30" s="61"/>
      <c r="C30" s="61"/>
    </row>
    <row r="31" spans="1:3" ht="15">
      <c r="A31" s="61"/>
      <c r="C31" s="61"/>
    </row>
    <row r="32" spans="1:3" ht="15">
      <c r="A32" s="61"/>
      <c r="C32" s="61"/>
    </row>
    <row r="33" spans="1:3" ht="15">
      <c r="A33" s="61"/>
      <c r="C33" s="61"/>
    </row>
    <row r="34" spans="1:3" ht="15">
      <c r="A34" s="61"/>
      <c r="C34" s="61"/>
    </row>
    <row r="35" spans="1:3" ht="15">
      <c r="A35" s="61"/>
      <c r="C35" s="61"/>
    </row>
    <row r="36" spans="1:3" ht="15">
      <c r="A36" s="61"/>
      <c r="C36" s="61"/>
    </row>
    <row r="37" ht="15">
      <c r="A37" s="61"/>
    </row>
    <row r="38" ht="15">
      <c r="A38" s="61"/>
    </row>
    <row r="39" spans="1:3" ht="15">
      <c r="A39" s="61"/>
      <c r="C39" s="61"/>
    </row>
    <row r="40" spans="1:3" ht="15">
      <c r="A40" s="61"/>
      <c r="C40" s="61"/>
    </row>
    <row r="41" spans="1:3" ht="15">
      <c r="A41" s="61"/>
      <c r="C41" s="61"/>
    </row>
  </sheetData>
  <sheetProtection password="8863" sheet="1" objects="1"/>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6.09765625" style="72" customWidth="1"/>
    <col min="2" max="2" width="1.1015625" style="72" customWidth="1"/>
    <col min="3" max="3" width="28.09765625" style="72" customWidth="1"/>
    <col min="4" max="16384" width="8" style="72" customWidth="1"/>
  </cols>
  <sheetData>
    <row r="1" spans="1:3" ht="15">
      <c r="A1" s="61"/>
      <c r="C1" s="54"/>
    </row>
    <row r="2" ht="15.75" thickBot="1">
      <c r="A2" s="61"/>
    </row>
    <row r="3" spans="1:3" ht="15.75" thickBot="1">
      <c r="A3" s="61"/>
      <c r="C3" s="61"/>
    </row>
    <row r="4" spans="1:3" ht="15">
      <c r="A4" s="61"/>
      <c r="C4" s="61"/>
    </row>
    <row r="5" ht="15">
      <c r="C5" s="61"/>
    </row>
    <row r="6" ht="15.75" thickBot="1">
      <c r="C6" s="61"/>
    </row>
    <row r="7" spans="1:3" ht="15">
      <c r="A7" s="61"/>
      <c r="C7" s="61"/>
    </row>
    <row r="8" spans="1:3" ht="15">
      <c r="A8" s="61"/>
      <c r="C8" s="61"/>
    </row>
    <row r="9" spans="1:3" ht="15">
      <c r="A9" s="61"/>
      <c r="C9" s="61"/>
    </row>
    <row r="10" spans="1:3" ht="15">
      <c r="A10" s="61"/>
      <c r="C10" s="61"/>
    </row>
    <row r="11" spans="1:3" ht="15.75" thickBot="1">
      <c r="A11" s="61"/>
      <c r="C11" s="61"/>
    </row>
    <row r="12" ht="15">
      <c r="C12" s="61"/>
    </row>
    <row r="13" ht="15.75" thickBot="1">
      <c r="C13" s="61"/>
    </row>
    <row r="14" spans="1:3" ht="15.75" thickBot="1">
      <c r="A14" s="61"/>
      <c r="C14" s="61"/>
    </row>
    <row r="15" ht="15">
      <c r="A15" s="61"/>
    </row>
    <row r="16" ht="15.75" thickBot="1">
      <c r="A16" s="61"/>
    </row>
    <row r="17" spans="1:3" ht="15.75" thickBot="1">
      <c r="A17" s="61"/>
      <c r="C17" s="61"/>
    </row>
    <row r="18" ht="15">
      <c r="C18" s="61"/>
    </row>
    <row r="19" ht="15">
      <c r="C19" s="61"/>
    </row>
    <row r="20" spans="1:3" ht="15">
      <c r="A20" s="61"/>
      <c r="C20" s="61"/>
    </row>
    <row r="21" spans="1:3" ht="15">
      <c r="A21" s="61"/>
      <c r="C21" s="61"/>
    </row>
    <row r="22" spans="1:3" ht="15">
      <c r="A22" s="61"/>
      <c r="C22" s="61"/>
    </row>
    <row r="23" spans="1:3" ht="15">
      <c r="A23" s="61"/>
      <c r="C23" s="61"/>
    </row>
    <row r="24" ht="15">
      <c r="A24" s="61"/>
    </row>
    <row r="25" ht="15">
      <c r="A25" s="61"/>
    </row>
    <row r="26" spans="1:3" ht="15.75" thickBot="1">
      <c r="A26" s="61"/>
      <c r="C26" s="61"/>
    </row>
    <row r="27" spans="1:3" ht="15">
      <c r="A27" s="61"/>
      <c r="C27" s="61"/>
    </row>
    <row r="28" spans="1:3" ht="15">
      <c r="A28" s="61"/>
      <c r="C28" s="61"/>
    </row>
    <row r="29" spans="1:3" ht="15">
      <c r="A29" s="61"/>
      <c r="C29" s="61"/>
    </row>
    <row r="30" spans="1:3" ht="15">
      <c r="A30" s="61"/>
      <c r="C30" s="61"/>
    </row>
    <row r="31" spans="1:3" ht="15">
      <c r="A31" s="61"/>
      <c r="C31" s="61"/>
    </row>
    <row r="32" spans="1:3" ht="15">
      <c r="A32" s="61"/>
      <c r="C32" s="61"/>
    </row>
    <row r="33" spans="1:3" ht="15">
      <c r="A33" s="61"/>
      <c r="C33" s="61"/>
    </row>
    <row r="34" spans="1:3" ht="15">
      <c r="A34" s="61"/>
      <c r="C34" s="61"/>
    </row>
    <row r="35" spans="1:3" ht="15">
      <c r="A35" s="61"/>
      <c r="C35" s="61"/>
    </row>
    <row r="36" spans="1:3" ht="15">
      <c r="A36" s="61"/>
      <c r="C36" s="61"/>
    </row>
    <row r="37" ht="15">
      <c r="A37" s="61"/>
    </row>
    <row r="38" ht="15">
      <c r="A38" s="61"/>
    </row>
    <row r="39" spans="1:3" ht="15">
      <c r="A39" s="61"/>
      <c r="C39" s="61"/>
    </row>
    <row r="40" spans="1:3" ht="15">
      <c r="A40" s="61"/>
      <c r="C40" s="61"/>
    </row>
    <row r="41" spans="1:3" ht="15">
      <c r="A41" s="61"/>
      <c r="C41" s="61"/>
    </row>
  </sheetData>
  <sheetProtection password="8863" sheet="1" objects="1"/>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6.09765625" style="72" customWidth="1"/>
    <col min="2" max="2" width="1.1015625" style="72" customWidth="1"/>
    <col min="3" max="3" width="28.09765625" style="72" customWidth="1"/>
    <col min="4" max="16384" width="8" style="72" customWidth="1"/>
  </cols>
  <sheetData>
    <row r="1" spans="1:3" ht="15">
      <c r="A1" s="54"/>
      <c r="C1" s="198"/>
    </row>
    <row r="2" ht="15.75" thickBot="1">
      <c r="A2" s="54"/>
    </row>
    <row r="3" spans="1:3" ht="15.75" thickBot="1">
      <c r="A3" s="54"/>
      <c r="C3" s="54"/>
    </row>
    <row r="4" spans="1:3" ht="15">
      <c r="A4" s="54"/>
      <c r="C4" s="54"/>
    </row>
    <row r="5" ht="15">
      <c r="C5" s="54"/>
    </row>
    <row r="6" ht="15.75" thickBot="1">
      <c r="C6" s="54"/>
    </row>
    <row r="7" spans="1:3" ht="15">
      <c r="A7" s="54"/>
      <c r="C7" s="54"/>
    </row>
    <row r="8" spans="1:3" ht="15">
      <c r="A8" s="54"/>
      <c r="C8" s="54"/>
    </row>
    <row r="9" spans="1:3" ht="15">
      <c r="A9" s="61"/>
      <c r="C9" s="54"/>
    </row>
    <row r="10" spans="1:3" ht="15">
      <c r="A10" s="54"/>
      <c r="C10" s="54"/>
    </row>
    <row r="11" spans="1:3" ht="15.75" thickBot="1">
      <c r="A11" s="61"/>
      <c r="C11" s="54"/>
    </row>
    <row r="12" ht="15">
      <c r="C12" s="54"/>
    </row>
    <row r="13" ht="15.75" thickBot="1">
      <c r="C13" s="54"/>
    </row>
    <row r="14" spans="1:3" ht="15.75" thickBot="1">
      <c r="A14" s="54"/>
      <c r="C14" s="61"/>
    </row>
    <row r="15" ht="15">
      <c r="A15" s="54"/>
    </row>
    <row r="16" ht="15.75" thickBot="1">
      <c r="A16" s="54"/>
    </row>
    <row r="17" spans="1:3" ht="15.75" thickBot="1">
      <c r="A17" s="61"/>
      <c r="C17" s="54"/>
    </row>
    <row r="18" ht="15">
      <c r="C18" s="54"/>
    </row>
    <row r="19" ht="15">
      <c r="C19" s="54"/>
    </row>
    <row r="20" spans="1:3" ht="15">
      <c r="A20" s="61"/>
      <c r="C20" s="54"/>
    </row>
    <row r="21" spans="1:3" ht="15">
      <c r="A21" s="61"/>
      <c r="C21" s="54"/>
    </row>
    <row r="22" spans="1:3" ht="15">
      <c r="A22" s="54"/>
      <c r="C22" s="54"/>
    </row>
    <row r="23" spans="1:3" ht="15">
      <c r="A23" s="54"/>
      <c r="C23" s="61"/>
    </row>
    <row r="24" ht="15">
      <c r="A24" s="54"/>
    </row>
    <row r="25" ht="15">
      <c r="A25" s="54"/>
    </row>
    <row r="26" spans="1:3" ht="15.75" thickBot="1">
      <c r="A26" s="54"/>
      <c r="C26" s="61"/>
    </row>
    <row r="27" spans="1:3" ht="15">
      <c r="A27" s="54"/>
      <c r="C27" s="54"/>
    </row>
    <row r="28" spans="1:3" ht="15">
      <c r="A28" s="54"/>
      <c r="C28" s="54"/>
    </row>
    <row r="29" spans="1:3" ht="15">
      <c r="A29" s="54"/>
      <c r="C29" s="54"/>
    </row>
    <row r="30" spans="1:3" ht="15">
      <c r="A30" s="54"/>
      <c r="C30" s="54"/>
    </row>
    <row r="31" spans="1:3" ht="15">
      <c r="A31" s="54"/>
      <c r="C31" s="54"/>
    </row>
    <row r="32" spans="1:3" ht="15">
      <c r="A32" s="54"/>
      <c r="C32" s="54"/>
    </row>
    <row r="33" spans="1:3" ht="15">
      <c r="A33" s="54"/>
      <c r="C33" s="54"/>
    </row>
    <row r="34" spans="1:3" ht="15">
      <c r="A34" s="54"/>
      <c r="C34" s="54"/>
    </row>
    <row r="35" spans="1:3" ht="15">
      <c r="A35" s="54"/>
      <c r="C35" s="54"/>
    </row>
    <row r="36" spans="1:3" ht="15">
      <c r="A36" s="54"/>
      <c r="C36" s="61"/>
    </row>
    <row r="37" ht="15">
      <c r="A37" s="54"/>
    </row>
    <row r="38" ht="15">
      <c r="A38" s="54"/>
    </row>
    <row r="39" spans="1:3" ht="15">
      <c r="A39" s="54"/>
      <c r="C39" s="61"/>
    </row>
    <row r="40" spans="1:3" ht="15">
      <c r="A40" s="54"/>
      <c r="C40" s="54"/>
    </row>
    <row r="41" spans="1:3" ht="15">
      <c r="A41" s="61"/>
      <c r="C41" s="61"/>
    </row>
  </sheetData>
  <sheetProtection password="8863" sheet="1" object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108"/>
  <sheetViews>
    <sheetView zoomScaleSheetLayoutView="100" workbookViewId="0" topLeftCell="A1">
      <selection activeCell="H52" sqref="H52"/>
    </sheetView>
  </sheetViews>
  <sheetFormatPr defaultColWidth="8.796875" defaultRowHeight="15"/>
  <cols>
    <col min="1" max="1" width="39.59765625" style="1" customWidth="1"/>
    <col min="2" max="2" width="0.4921875" style="1" customWidth="1"/>
    <col min="3" max="3" width="4.69921875" style="1" customWidth="1"/>
    <col min="4" max="4" width="0.4921875" style="1" customWidth="1"/>
    <col min="5" max="5" width="8.59765625" style="1" customWidth="1"/>
    <col min="6" max="6" width="14.69921875" style="1" hidden="1" customWidth="1"/>
    <col min="7" max="7" width="0.4921875" style="1" customWidth="1"/>
    <col min="8" max="8" width="16.3984375" style="6" customWidth="1"/>
    <col min="9" max="9" width="10" style="1" hidden="1" customWidth="1"/>
    <col min="10" max="10" width="16.5" style="1" customWidth="1"/>
    <col min="11" max="11" width="0.4921875" style="1" hidden="1" customWidth="1"/>
    <col min="12" max="12" width="15.8984375" style="1" hidden="1" customWidth="1"/>
    <col min="13" max="13" width="18" style="1" customWidth="1"/>
    <col min="14" max="16" width="9" style="1" customWidth="1"/>
    <col min="17" max="17" width="16.69921875" style="6" bestFit="1" customWidth="1"/>
    <col min="18" max="16384" width="9" style="1" customWidth="1"/>
  </cols>
  <sheetData>
    <row r="1" spans="1:12" ht="17.25" customHeight="1">
      <c r="A1" s="323" t="str">
        <f>'BS&amp;PLcanam'!A1</f>
        <v>CÔNG TY CỔ PHẦN XÂY DỰNG NĂNG LƯỢNG</v>
      </c>
      <c r="B1" s="21"/>
      <c r="C1" s="21"/>
      <c r="D1" s="21"/>
      <c r="E1" s="22"/>
      <c r="F1" s="22"/>
      <c r="G1" s="37"/>
      <c r="H1" s="457"/>
      <c r="I1" s="37"/>
      <c r="J1" s="80" t="s">
        <v>279</v>
      </c>
      <c r="L1" s="80" t="s">
        <v>279</v>
      </c>
    </row>
    <row r="2" spans="1:12" ht="17.25" customHeight="1">
      <c r="A2" s="559" t="str">
        <f>'BS&amp;PLcanam'!A2</f>
        <v>Tầng 7, tòa nhà Sông Đà, đường Phạm Hùng, Mỹ Đình, Từ Liêm, Hà Nội</v>
      </c>
      <c r="B2" s="559"/>
      <c r="C2" s="559"/>
      <c r="D2" s="559"/>
      <c r="E2" s="559"/>
      <c r="F2" s="559"/>
      <c r="G2" s="559"/>
      <c r="H2" s="458"/>
      <c r="I2" s="455"/>
      <c r="J2" s="30" t="s">
        <v>537</v>
      </c>
      <c r="L2" s="30" t="s">
        <v>196</v>
      </c>
    </row>
    <row r="3" spans="1:12" ht="17.25" customHeight="1">
      <c r="A3" s="469" t="s">
        <v>528</v>
      </c>
      <c r="B3" s="51"/>
      <c r="C3" s="51"/>
      <c r="D3" s="51"/>
      <c r="E3" s="20"/>
      <c r="F3" s="20"/>
      <c r="G3" s="33"/>
      <c r="H3" s="59"/>
      <c r="I3" s="33"/>
      <c r="J3" s="33"/>
      <c r="L3" s="33"/>
    </row>
    <row r="4" spans="1:12" ht="2.25" customHeight="1">
      <c r="A4" s="34"/>
      <c r="B4" s="34"/>
      <c r="C4" s="34"/>
      <c r="D4" s="34"/>
      <c r="E4" s="34"/>
      <c r="F4" s="34"/>
      <c r="G4" s="34"/>
      <c r="H4" s="197"/>
      <c r="I4" s="34"/>
      <c r="J4" s="34"/>
      <c r="K4" s="34"/>
      <c r="L4" s="34"/>
    </row>
    <row r="5" ht="2.25" customHeight="1"/>
    <row r="6" spans="10:12" ht="12.75" customHeight="1">
      <c r="J6" s="95" t="s">
        <v>316</v>
      </c>
      <c r="L6" s="95" t="s">
        <v>316</v>
      </c>
    </row>
    <row r="7" spans="1:12" ht="17.25">
      <c r="A7" s="594" t="s">
        <v>424</v>
      </c>
      <c r="B7" s="594"/>
      <c r="C7" s="594"/>
      <c r="D7" s="594"/>
      <c r="E7" s="594"/>
      <c r="F7" s="594"/>
      <c r="G7" s="594"/>
      <c r="H7" s="594"/>
      <c r="I7" s="594"/>
      <c r="J7" s="594"/>
      <c r="K7" s="594"/>
      <c r="L7" s="594"/>
    </row>
    <row r="8" spans="1:12" ht="15">
      <c r="A8" s="560" t="s">
        <v>537</v>
      </c>
      <c r="B8" s="560"/>
      <c r="C8" s="560"/>
      <c r="D8" s="560"/>
      <c r="E8" s="560"/>
      <c r="F8" s="560"/>
      <c r="G8" s="560"/>
      <c r="H8" s="560"/>
      <c r="I8" s="560"/>
      <c r="J8" s="560"/>
      <c r="K8" s="560"/>
      <c r="L8" s="560"/>
    </row>
    <row r="9" spans="2:12" ht="16.5">
      <c r="B9" s="7"/>
      <c r="C9" s="7"/>
      <c r="D9" s="7"/>
      <c r="E9" s="7"/>
      <c r="F9" s="7"/>
      <c r="G9" s="7"/>
      <c r="H9" s="459"/>
      <c r="I9" s="7"/>
      <c r="J9" s="595" t="s">
        <v>318</v>
      </c>
      <c r="K9" s="595"/>
      <c r="L9" s="595"/>
    </row>
    <row r="10" spans="1:12" ht="14.25" customHeight="1">
      <c r="A10" s="561" t="s">
        <v>239</v>
      </c>
      <c r="C10" s="554" t="s">
        <v>426</v>
      </c>
      <c r="E10" s="554" t="s">
        <v>425</v>
      </c>
      <c r="H10" s="556" t="s">
        <v>538</v>
      </c>
      <c r="J10" s="556" t="s">
        <v>539</v>
      </c>
      <c r="K10" s="94"/>
      <c r="L10" s="593" t="s">
        <v>317</v>
      </c>
    </row>
    <row r="11" spans="1:12" ht="16.5">
      <c r="A11" s="562"/>
      <c r="B11" s="15"/>
      <c r="C11" s="555"/>
      <c r="D11" s="15"/>
      <c r="E11" s="555"/>
      <c r="F11" s="16" t="s">
        <v>240</v>
      </c>
      <c r="G11" s="18"/>
      <c r="H11" s="592"/>
      <c r="I11" s="18"/>
      <c r="J11" s="592"/>
      <c r="K11" s="94"/>
      <c r="L11" s="592"/>
    </row>
    <row r="12" spans="1:10" ht="3" customHeight="1">
      <c r="A12" s="15"/>
      <c r="B12" s="15"/>
      <c r="C12" s="15"/>
      <c r="D12" s="15"/>
      <c r="E12" s="17"/>
      <c r="F12" s="14"/>
      <c r="G12" s="27"/>
      <c r="H12" s="38"/>
      <c r="I12" s="27"/>
      <c r="J12" s="38"/>
    </row>
    <row r="13" spans="1:13" ht="15">
      <c r="A13" s="9" t="s">
        <v>319</v>
      </c>
      <c r="B13" s="9"/>
      <c r="C13" s="56" t="s">
        <v>291</v>
      </c>
      <c r="D13" s="9"/>
      <c r="E13" s="324" t="s">
        <v>35</v>
      </c>
      <c r="F13" s="10">
        <f>574808127+2157386829</f>
        <v>2732194956</v>
      </c>
      <c r="G13" s="29"/>
      <c r="H13" s="347">
        <f>28170152492</f>
        <v>28170152492</v>
      </c>
      <c r="I13" s="29"/>
      <c r="J13" s="10">
        <v>54088353210</v>
      </c>
      <c r="L13" s="10">
        <v>78148822846</v>
      </c>
      <c r="M13" s="19"/>
    </row>
    <row r="14" spans="1:12" ht="2.25" customHeight="1">
      <c r="A14" s="11"/>
      <c r="B14" s="11"/>
      <c r="C14" s="58"/>
      <c r="D14" s="11"/>
      <c r="E14" s="41"/>
      <c r="F14" s="8"/>
      <c r="G14" s="24"/>
      <c r="H14" s="346">
        <f>71426480652</f>
        <v>71426480652</v>
      </c>
      <c r="I14" s="24"/>
      <c r="J14" s="39"/>
      <c r="L14" s="39"/>
    </row>
    <row r="15" spans="1:13" ht="16.5" customHeight="1">
      <c r="A15" s="67" t="s">
        <v>320</v>
      </c>
      <c r="B15" s="9"/>
      <c r="C15" s="58" t="s">
        <v>281</v>
      </c>
      <c r="D15" s="9"/>
      <c r="E15" s="41"/>
      <c r="F15" s="10" t="e">
        <f>SUM(#REF!)</f>
        <v>#REF!</v>
      </c>
      <c r="G15" s="28"/>
      <c r="H15" s="347">
        <v>0</v>
      </c>
      <c r="I15" s="28"/>
      <c r="J15" s="39">
        <v>0</v>
      </c>
      <c r="L15" s="39">
        <v>0</v>
      </c>
      <c r="M15" s="6"/>
    </row>
    <row r="16" spans="1:12" ht="2.25" customHeight="1">
      <c r="A16" s="9"/>
      <c r="B16" s="9"/>
      <c r="C16" s="56"/>
      <c r="D16" s="9"/>
      <c r="E16" s="41"/>
      <c r="F16" s="10"/>
      <c r="G16" s="28"/>
      <c r="H16" s="347"/>
      <c r="I16" s="28"/>
      <c r="J16" s="10"/>
      <c r="L16" s="10"/>
    </row>
    <row r="17" spans="1:12" ht="18" customHeight="1" hidden="1">
      <c r="A17" s="51" t="s">
        <v>356</v>
      </c>
      <c r="B17" s="51"/>
      <c r="C17" s="58" t="s">
        <v>301</v>
      </c>
      <c r="D17" s="51"/>
      <c r="E17" s="41"/>
      <c r="F17" s="10"/>
      <c r="G17" s="28"/>
      <c r="H17" s="347"/>
      <c r="I17" s="28"/>
      <c r="J17" s="39">
        <v>0</v>
      </c>
      <c r="L17" s="39">
        <v>0</v>
      </c>
    </row>
    <row r="18" spans="1:12" ht="18" customHeight="1" hidden="1">
      <c r="A18" s="51" t="s">
        <v>305</v>
      </c>
      <c r="B18" s="51"/>
      <c r="C18" s="58" t="s">
        <v>306</v>
      </c>
      <c r="D18" s="51"/>
      <c r="E18" s="41"/>
      <c r="F18" s="10"/>
      <c r="G18" s="28"/>
      <c r="H18" s="347"/>
      <c r="I18" s="28"/>
      <c r="J18" s="39">
        <v>0</v>
      </c>
      <c r="L18" s="39">
        <v>0</v>
      </c>
    </row>
    <row r="19" spans="1:12" ht="18" customHeight="1" hidden="1">
      <c r="A19" s="51" t="s">
        <v>357</v>
      </c>
      <c r="B19" s="51"/>
      <c r="C19" s="58" t="s">
        <v>358</v>
      </c>
      <c r="D19" s="51"/>
      <c r="E19" s="41"/>
      <c r="F19" s="10"/>
      <c r="G19" s="28"/>
      <c r="H19" s="347"/>
      <c r="I19" s="28"/>
      <c r="J19" s="39">
        <v>0</v>
      </c>
      <c r="L19" s="39">
        <v>0</v>
      </c>
    </row>
    <row r="20" spans="1:12" ht="18" customHeight="1" hidden="1">
      <c r="A20" s="51" t="s">
        <v>359</v>
      </c>
      <c r="B20" s="11"/>
      <c r="C20" s="58" t="s">
        <v>360</v>
      </c>
      <c r="D20" s="11"/>
      <c r="E20" s="42"/>
      <c r="F20" s="8"/>
      <c r="G20" s="31"/>
      <c r="H20" s="367"/>
      <c r="I20" s="31"/>
      <c r="J20" s="48">
        <v>0</v>
      </c>
      <c r="L20" s="48">
        <v>0</v>
      </c>
    </row>
    <row r="21" spans="1:12" ht="6.75" customHeight="1" hidden="1">
      <c r="A21" s="51"/>
      <c r="B21" s="11"/>
      <c r="D21" s="11"/>
      <c r="E21" s="42"/>
      <c r="F21" s="8"/>
      <c r="G21" s="31"/>
      <c r="H21" s="367"/>
      <c r="I21" s="31"/>
      <c r="J21" s="48"/>
      <c r="L21" s="48"/>
    </row>
    <row r="22" spans="1:17" s="2" customFormat="1" ht="30">
      <c r="A22" s="9" t="s">
        <v>207</v>
      </c>
      <c r="B22" s="9"/>
      <c r="C22" s="56" t="s">
        <v>285</v>
      </c>
      <c r="D22" s="9"/>
      <c r="E22" s="43"/>
      <c r="F22" s="44" t="e">
        <f>F13-F15</f>
        <v>#REF!</v>
      </c>
      <c r="G22" s="45"/>
      <c r="H22" s="10">
        <f>H13</f>
        <v>28170152492</v>
      </c>
      <c r="I22" s="45"/>
      <c r="J22" s="10">
        <f>+J13</f>
        <v>54088353210</v>
      </c>
      <c r="L22" s="10">
        <f>L13-L15</f>
        <v>78148822846</v>
      </c>
      <c r="M22" s="47"/>
      <c r="Q22" s="530"/>
    </row>
    <row r="23" spans="1:17" s="2" customFormat="1" ht="16.5" customHeight="1" hidden="1">
      <c r="A23" s="9" t="s">
        <v>206</v>
      </c>
      <c r="B23" s="9"/>
      <c r="C23" s="56"/>
      <c r="D23" s="9"/>
      <c r="E23" s="43"/>
      <c r="F23" s="44"/>
      <c r="G23" s="45"/>
      <c r="H23" s="478"/>
      <c r="I23" s="45"/>
      <c r="J23" s="10"/>
      <c r="L23" s="10"/>
      <c r="M23" s="47"/>
      <c r="Q23" s="530"/>
    </row>
    <row r="24" spans="1:12" ht="3" customHeight="1">
      <c r="A24" s="9"/>
      <c r="B24" s="9"/>
      <c r="C24" s="56"/>
      <c r="D24" s="9"/>
      <c r="E24" s="42"/>
      <c r="F24" s="8"/>
      <c r="G24" s="28"/>
      <c r="H24" s="347"/>
      <c r="I24" s="28"/>
      <c r="J24" s="19"/>
      <c r="L24" s="19"/>
    </row>
    <row r="25" spans="1:17" s="23" customFormat="1" ht="14.25">
      <c r="A25" s="66" t="s">
        <v>321</v>
      </c>
      <c r="B25" s="66"/>
      <c r="C25" s="58" t="s">
        <v>292</v>
      </c>
      <c r="D25" s="66"/>
      <c r="E25" s="324" t="s">
        <v>36</v>
      </c>
      <c r="F25" s="39">
        <f>-253488000-1710930832</f>
        <v>-1964418832</v>
      </c>
      <c r="G25" s="24"/>
      <c r="H25" s="346">
        <f>-23333414209</f>
        <v>-23333414209</v>
      </c>
      <c r="I25" s="24"/>
      <c r="J25" s="346">
        <v>-50042992320</v>
      </c>
      <c r="L25" s="39">
        <v>66160857281</v>
      </c>
      <c r="M25" s="47"/>
      <c r="Q25" s="53"/>
    </row>
    <row r="26" spans="1:17" s="2" customFormat="1" ht="15">
      <c r="A26" s="62" t="s">
        <v>485</v>
      </c>
      <c r="B26" s="62"/>
      <c r="C26" s="73"/>
      <c r="D26" s="62"/>
      <c r="E26" s="463"/>
      <c r="F26" s="63"/>
      <c r="G26" s="75"/>
      <c r="H26" s="479">
        <v>-6333247235</v>
      </c>
      <c r="I26" s="75"/>
      <c r="J26" s="479">
        <v>-5390881791</v>
      </c>
      <c r="L26" s="63"/>
      <c r="M26" s="189"/>
      <c r="Q26" s="530"/>
    </row>
    <row r="27" spans="1:17" s="468" customFormat="1" ht="15">
      <c r="A27" s="62" t="s">
        <v>484</v>
      </c>
      <c r="B27" s="464"/>
      <c r="C27" s="465"/>
      <c r="D27" s="464"/>
      <c r="E27" s="43"/>
      <c r="F27" s="466"/>
      <c r="G27" s="45"/>
      <c r="H27" s="479">
        <v>-1667494039</v>
      </c>
      <c r="I27" s="45"/>
      <c r="J27" s="479">
        <v>-4205102382</v>
      </c>
      <c r="K27" s="467"/>
      <c r="L27" s="44"/>
      <c r="Q27" s="531"/>
    </row>
    <row r="28" spans="1:17" s="2" customFormat="1" ht="21.75" customHeight="1">
      <c r="A28" s="13" t="s">
        <v>322</v>
      </c>
      <c r="B28" s="13"/>
      <c r="C28" s="56" t="s">
        <v>293</v>
      </c>
      <c r="D28" s="13"/>
      <c r="E28" s="43"/>
      <c r="F28" s="44" t="e">
        <f>F22+F25</f>
        <v>#REF!</v>
      </c>
      <c r="G28" s="45"/>
      <c r="H28" s="10">
        <f>+H22+H25</f>
        <v>4836738283</v>
      </c>
      <c r="I28" s="45"/>
      <c r="J28" s="10">
        <f>+J22+J25</f>
        <v>4045360890</v>
      </c>
      <c r="L28" s="10">
        <f>L22-L25</f>
        <v>11987965565</v>
      </c>
      <c r="M28" s="39"/>
      <c r="Q28" s="530"/>
    </row>
    <row r="29" spans="1:17" s="2" customFormat="1" ht="16.5" customHeight="1">
      <c r="A29" s="13" t="s">
        <v>323</v>
      </c>
      <c r="B29" s="13"/>
      <c r="C29" s="56"/>
      <c r="D29" s="13"/>
      <c r="E29" s="43"/>
      <c r="F29" s="44"/>
      <c r="G29" s="45"/>
      <c r="H29" s="478"/>
      <c r="I29" s="45"/>
      <c r="J29" s="10"/>
      <c r="L29" s="10"/>
      <c r="M29" s="189"/>
      <c r="Q29" s="530"/>
    </row>
    <row r="30" spans="1:12" ht="2.25" customHeight="1">
      <c r="A30" s="13"/>
      <c r="B30" s="13"/>
      <c r="C30" s="56"/>
      <c r="D30" s="13"/>
      <c r="E30" s="42"/>
      <c r="F30" s="8"/>
      <c r="G30" s="28"/>
      <c r="H30" s="347"/>
      <c r="I30" s="28"/>
      <c r="J30" s="10"/>
      <c r="L30" s="10"/>
    </row>
    <row r="31" spans="1:17" s="23" customFormat="1" ht="15">
      <c r="A31" s="66" t="s">
        <v>344</v>
      </c>
      <c r="B31" s="66"/>
      <c r="C31" s="58" t="s">
        <v>294</v>
      </c>
      <c r="D31" s="66"/>
      <c r="E31" s="325" t="s">
        <v>37</v>
      </c>
      <c r="F31" s="39"/>
      <c r="G31" s="24"/>
      <c r="H31" s="346">
        <f>728557325</f>
        <v>728557325</v>
      </c>
      <c r="I31" s="24"/>
      <c r="J31" s="346">
        <v>651644509</v>
      </c>
      <c r="L31" s="39">
        <v>31707419</v>
      </c>
      <c r="Q31" s="53"/>
    </row>
    <row r="32" spans="1:17" s="23" customFormat="1" ht="2.25" customHeight="1">
      <c r="A32" s="66"/>
      <c r="B32" s="66"/>
      <c r="C32" s="58"/>
      <c r="D32" s="66"/>
      <c r="E32" s="40"/>
      <c r="F32" s="39"/>
      <c r="G32" s="24"/>
      <c r="H32" s="346"/>
      <c r="I32" s="24"/>
      <c r="J32" s="346"/>
      <c r="L32" s="39"/>
      <c r="Q32" s="53"/>
    </row>
    <row r="33" spans="1:17" s="23" customFormat="1" ht="15">
      <c r="A33" s="66" t="s">
        <v>324</v>
      </c>
      <c r="B33" s="66"/>
      <c r="C33" s="58" t="s">
        <v>295</v>
      </c>
      <c r="D33" s="66"/>
      <c r="E33" s="325" t="s">
        <v>38</v>
      </c>
      <c r="F33" s="39"/>
      <c r="G33" s="24"/>
      <c r="H33" s="346">
        <v>0</v>
      </c>
      <c r="I33" s="24"/>
      <c r="J33" s="346">
        <v>0</v>
      </c>
      <c r="L33" s="39">
        <v>4216555344</v>
      </c>
      <c r="Q33" s="53"/>
    </row>
    <row r="34" spans="1:17" s="2" customFormat="1" ht="15">
      <c r="A34" s="62" t="s">
        <v>361</v>
      </c>
      <c r="B34" s="62"/>
      <c r="C34" s="73" t="s">
        <v>302</v>
      </c>
      <c r="D34" s="62"/>
      <c r="E34" s="74"/>
      <c r="F34" s="63"/>
      <c r="G34" s="75"/>
      <c r="H34" s="479">
        <v>0</v>
      </c>
      <c r="I34" s="75"/>
      <c r="J34" s="63">
        <v>0</v>
      </c>
      <c r="L34" s="63">
        <f>L33</f>
        <v>4216555344</v>
      </c>
      <c r="Q34" s="530"/>
    </row>
    <row r="35" spans="1:12" ht="3" customHeight="1">
      <c r="A35" s="13"/>
      <c r="B35" s="13"/>
      <c r="D35" s="13"/>
      <c r="E35" s="42"/>
      <c r="F35" s="8"/>
      <c r="G35" s="28"/>
      <c r="H35" s="347"/>
      <c r="I35" s="28"/>
      <c r="J35" s="10"/>
      <c r="L35" s="10"/>
    </row>
    <row r="36" spans="1:17" s="23" customFormat="1" ht="14.25">
      <c r="A36" s="67" t="s">
        <v>325</v>
      </c>
      <c r="B36" s="67"/>
      <c r="C36" s="58" t="s">
        <v>303</v>
      </c>
      <c r="D36" s="67"/>
      <c r="E36" s="52"/>
      <c r="F36" s="39">
        <f>-78233913-6000000</f>
        <v>-84233913</v>
      </c>
      <c r="G36" s="24"/>
      <c r="H36" s="480"/>
      <c r="I36" s="24"/>
      <c r="J36" s="39"/>
      <c r="L36" s="39">
        <v>0</v>
      </c>
      <c r="Q36" s="53"/>
    </row>
    <row r="37" spans="1:17" s="23" customFormat="1" ht="3" customHeight="1">
      <c r="A37" s="51"/>
      <c r="B37" s="51"/>
      <c r="C37" s="58"/>
      <c r="D37" s="51"/>
      <c r="E37" s="40"/>
      <c r="F37" s="68"/>
      <c r="G37" s="24"/>
      <c r="H37" s="39"/>
      <c r="I37" s="24"/>
      <c r="J37" s="10"/>
      <c r="L37" s="49"/>
      <c r="Q37" s="53"/>
    </row>
    <row r="38" spans="1:17" s="23" customFormat="1" ht="15">
      <c r="A38" s="67" t="s">
        <v>326</v>
      </c>
      <c r="B38" s="67"/>
      <c r="C38" s="58" t="s">
        <v>304</v>
      </c>
      <c r="D38" s="67"/>
      <c r="E38" s="318" t="s">
        <v>41</v>
      </c>
      <c r="F38" s="39">
        <f>-288645812-358865118</f>
        <v>-647510930</v>
      </c>
      <c r="G38" s="24"/>
      <c r="H38" s="39">
        <f>-2714900082</f>
        <v>-2714900082</v>
      </c>
      <c r="I38" s="24"/>
      <c r="J38" s="39">
        <v>-2583140840</v>
      </c>
      <c r="K38" s="39"/>
      <c r="L38" s="39">
        <v>6089463874</v>
      </c>
      <c r="M38" s="47"/>
      <c r="Q38" s="53"/>
    </row>
    <row r="39" spans="1:12" ht="3" customHeight="1">
      <c r="A39" s="13"/>
      <c r="B39" s="13"/>
      <c r="D39" s="13"/>
      <c r="E39" s="42"/>
      <c r="F39" s="8"/>
      <c r="G39" s="28"/>
      <c r="H39" s="10"/>
      <c r="I39" s="28"/>
      <c r="J39" s="10"/>
      <c r="L39" s="10"/>
    </row>
    <row r="40" spans="1:17" s="2" customFormat="1" ht="18" customHeight="1">
      <c r="A40" s="13" t="s">
        <v>327</v>
      </c>
      <c r="B40" s="13"/>
      <c r="C40" s="56" t="s">
        <v>296</v>
      </c>
      <c r="D40" s="13"/>
      <c r="E40" s="43"/>
      <c r="F40" s="44" t="e">
        <f>F28+(F36+F38)</f>
        <v>#REF!</v>
      </c>
      <c r="G40" s="45"/>
      <c r="H40" s="10">
        <f>+H38+H34+H31+H28</f>
        <v>2850395526</v>
      </c>
      <c r="I40" s="45"/>
      <c r="J40" s="10">
        <f>+J38+J34+J31+J28</f>
        <v>2113864559</v>
      </c>
      <c r="L40" s="10">
        <f>L28+(L31-L33)-(L36+L38)</f>
        <v>1713653766</v>
      </c>
      <c r="Q40" s="530"/>
    </row>
    <row r="41" spans="1:17" s="2" customFormat="1" ht="15">
      <c r="A41" s="13" t="s">
        <v>280</v>
      </c>
      <c r="B41" s="13"/>
      <c r="C41" s="56"/>
      <c r="D41" s="13"/>
      <c r="E41" s="43"/>
      <c r="F41" s="44"/>
      <c r="G41" s="45"/>
      <c r="H41" s="44"/>
      <c r="I41" s="45"/>
      <c r="J41" s="10"/>
      <c r="L41" s="10"/>
      <c r="Q41" s="530"/>
    </row>
    <row r="42" spans="1:12" ht="3" customHeight="1">
      <c r="A42" s="11"/>
      <c r="B42" s="11"/>
      <c r="C42" s="56"/>
      <c r="D42" s="11"/>
      <c r="E42" s="42"/>
      <c r="F42" s="8"/>
      <c r="G42" s="28"/>
      <c r="H42" s="10"/>
      <c r="I42" s="28"/>
      <c r="J42" s="10"/>
      <c r="L42" s="10"/>
    </row>
    <row r="43" spans="1:17" s="23" customFormat="1" ht="15">
      <c r="A43" s="67" t="s">
        <v>328</v>
      </c>
      <c r="B43" s="67"/>
      <c r="C43" s="58" t="s">
        <v>297</v>
      </c>
      <c r="D43" s="67"/>
      <c r="E43" s="318" t="s">
        <v>44</v>
      </c>
      <c r="F43" s="68"/>
      <c r="G43" s="24"/>
      <c r="H43" s="39">
        <f>529090547</f>
        <v>529090547</v>
      </c>
      <c r="I43" s="24"/>
      <c r="J43" s="39">
        <v>39619048</v>
      </c>
      <c r="L43" s="49">
        <v>3169089675</v>
      </c>
      <c r="Q43" s="53"/>
    </row>
    <row r="44" spans="1:17" s="23" customFormat="1" ht="3" customHeight="1">
      <c r="A44" s="51"/>
      <c r="B44" s="51"/>
      <c r="D44" s="51"/>
      <c r="E44" s="40"/>
      <c r="F44" s="68"/>
      <c r="G44" s="24"/>
      <c r="H44" s="39"/>
      <c r="I44" s="24"/>
      <c r="J44" s="39"/>
      <c r="L44" s="49"/>
      <c r="Q44" s="53"/>
    </row>
    <row r="45" spans="1:17" s="23" customFormat="1" ht="15">
      <c r="A45" s="67" t="s">
        <v>329</v>
      </c>
      <c r="B45" s="67"/>
      <c r="C45" s="58" t="s">
        <v>298</v>
      </c>
      <c r="D45" s="67"/>
      <c r="E45" s="318" t="s">
        <v>45</v>
      </c>
      <c r="F45" s="39">
        <v>0</v>
      </c>
      <c r="G45" s="69"/>
      <c r="H45" s="49">
        <f>-157733382</f>
        <v>-157733382</v>
      </c>
      <c r="I45" s="69"/>
      <c r="J45" s="49">
        <v>-17361111</v>
      </c>
      <c r="L45" s="53">
        <v>1566390561</v>
      </c>
      <c r="Q45" s="53"/>
    </row>
    <row r="46" spans="1:12" ht="3" customHeight="1">
      <c r="A46" s="9"/>
      <c r="B46" s="9"/>
      <c r="C46" s="56"/>
      <c r="D46" s="9"/>
      <c r="E46" s="40"/>
      <c r="F46" s="8"/>
      <c r="G46" s="31"/>
      <c r="H46" s="48"/>
      <c r="I46" s="31"/>
      <c r="J46" s="6"/>
      <c r="K46" s="78"/>
      <c r="L46" s="6"/>
    </row>
    <row r="47" spans="1:17" s="2" customFormat="1" ht="15">
      <c r="A47" s="9" t="s">
        <v>375</v>
      </c>
      <c r="B47" s="9"/>
      <c r="C47" s="56" t="s">
        <v>299</v>
      </c>
      <c r="D47" s="9"/>
      <c r="E47" s="43"/>
      <c r="F47" s="46"/>
      <c r="G47" s="45"/>
      <c r="H47" s="44">
        <f>H43+H45</f>
        <v>371357165</v>
      </c>
      <c r="I47" s="45"/>
      <c r="J47" s="10">
        <f>J43+J45</f>
        <v>22257937</v>
      </c>
      <c r="K47" s="86"/>
      <c r="L47" s="10">
        <f>L43-L45</f>
        <v>1602699114</v>
      </c>
      <c r="Q47" s="530"/>
    </row>
    <row r="48" spans="1:12" ht="3" customHeight="1">
      <c r="A48" s="9"/>
      <c r="B48" s="9"/>
      <c r="C48" s="56"/>
      <c r="D48" s="9"/>
      <c r="E48" s="42"/>
      <c r="F48" s="12"/>
      <c r="G48" s="28"/>
      <c r="H48" s="10"/>
      <c r="I48" s="28"/>
      <c r="J48" s="10"/>
      <c r="K48" s="78"/>
      <c r="L48" s="10"/>
    </row>
    <row r="49" spans="1:14" ht="15">
      <c r="A49" s="9" t="s">
        <v>455</v>
      </c>
      <c r="B49" s="9"/>
      <c r="C49" s="56" t="s">
        <v>300</v>
      </c>
      <c r="D49" s="9"/>
      <c r="E49" s="42"/>
      <c r="F49" s="8"/>
      <c r="G49" s="28"/>
      <c r="H49" s="10">
        <f>H40+H47</f>
        <v>3221752691</v>
      </c>
      <c r="I49" s="28"/>
      <c r="J49" s="10">
        <f>J40+J47</f>
        <v>2136122496</v>
      </c>
      <c r="K49" s="78"/>
      <c r="L49" s="10">
        <f>L40+L47</f>
        <v>3316352880</v>
      </c>
      <c r="M49" s="19"/>
      <c r="N49" s="19"/>
    </row>
    <row r="50" spans="1:12" ht="15">
      <c r="A50" s="9" t="s">
        <v>454</v>
      </c>
      <c r="B50" s="9"/>
      <c r="D50" s="9"/>
      <c r="E50" s="42"/>
      <c r="F50" s="8"/>
      <c r="G50" s="28"/>
      <c r="H50" s="10"/>
      <c r="I50" s="28"/>
      <c r="J50" s="10"/>
      <c r="K50" s="87"/>
      <c r="L50" s="10"/>
    </row>
    <row r="51" spans="1:12" ht="3.75" customHeight="1">
      <c r="A51" s="9"/>
      <c r="B51" s="9"/>
      <c r="D51" s="9"/>
      <c r="E51" s="42"/>
      <c r="F51" s="8"/>
      <c r="G51" s="28"/>
      <c r="H51" s="10"/>
      <c r="I51" s="28"/>
      <c r="J51" s="10"/>
      <c r="K51" s="87"/>
      <c r="L51" s="10"/>
    </row>
    <row r="52" spans="1:13" ht="15">
      <c r="A52" s="23" t="s">
        <v>198</v>
      </c>
      <c r="B52" s="4"/>
      <c r="C52" s="70" t="s">
        <v>362</v>
      </c>
      <c r="D52" s="4"/>
      <c r="E52" s="318" t="s">
        <v>47</v>
      </c>
      <c r="G52" s="76"/>
      <c r="H52" s="39">
        <v>524643301.1963937</v>
      </c>
      <c r="I52" s="76"/>
      <c r="J52" s="39">
        <v>534030624</v>
      </c>
      <c r="K52" s="89"/>
      <c r="L52" s="88">
        <v>0</v>
      </c>
      <c r="M52" s="534"/>
    </row>
    <row r="53" spans="1:12" ht="15">
      <c r="A53" s="23" t="s">
        <v>376</v>
      </c>
      <c r="B53" s="4"/>
      <c r="C53" s="70" t="s">
        <v>377</v>
      </c>
      <c r="D53" s="4"/>
      <c r="G53" s="76"/>
      <c r="H53" s="5"/>
      <c r="I53" s="76"/>
      <c r="J53" s="77">
        <v>0</v>
      </c>
      <c r="K53" s="89"/>
      <c r="L53" s="88">
        <v>0</v>
      </c>
    </row>
    <row r="54" spans="1:12" ht="3" customHeight="1">
      <c r="A54" s="4"/>
      <c r="B54" s="4"/>
      <c r="C54" s="57"/>
      <c r="D54" s="4"/>
      <c r="G54" s="76"/>
      <c r="H54" s="5"/>
      <c r="I54" s="76"/>
      <c r="J54" s="77"/>
      <c r="K54" s="78"/>
      <c r="L54" s="77"/>
    </row>
    <row r="55" spans="1:12" ht="15">
      <c r="A55" s="4" t="s">
        <v>330</v>
      </c>
      <c r="B55" s="4"/>
      <c r="C55" s="57" t="s">
        <v>242</v>
      </c>
      <c r="D55" s="4"/>
      <c r="G55" s="25"/>
      <c r="H55" s="5">
        <f>+H49-H52</f>
        <v>2697109389.803606</v>
      </c>
      <c r="I55" s="25"/>
      <c r="J55" s="5">
        <f>+J49-J52</f>
        <v>1602091872</v>
      </c>
      <c r="L55" s="5">
        <f>L49-L52-L53</f>
        <v>3316352880</v>
      </c>
    </row>
    <row r="56" spans="1:12" ht="12.75" customHeight="1">
      <c r="A56" s="4" t="s">
        <v>331</v>
      </c>
      <c r="B56" s="4"/>
      <c r="C56" s="57"/>
      <c r="D56" s="4"/>
      <c r="G56" s="25"/>
      <c r="I56" s="25"/>
      <c r="J56" s="5"/>
      <c r="L56" s="5"/>
    </row>
    <row r="57" spans="1:12" ht="3" customHeight="1">
      <c r="A57" s="4"/>
      <c r="B57" s="4"/>
      <c r="C57" s="57"/>
      <c r="D57" s="4"/>
      <c r="G57" s="25"/>
      <c r="I57" s="25"/>
      <c r="J57" s="5"/>
      <c r="L57" s="5"/>
    </row>
    <row r="58" spans="1:17" s="23" customFormat="1" ht="14.25" hidden="1">
      <c r="A58" s="23" t="s">
        <v>416</v>
      </c>
      <c r="C58" s="70" t="s">
        <v>314</v>
      </c>
      <c r="G58" s="64"/>
      <c r="H58" s="53"/>
      <c r="I58" s="64"/>
      <c r="J58" s="53"/>
      <c r="K58" s="53"/>
      <c r="L58" s="53">
        <v>1658.18</v>
      </c>
      <c r="M58" s="461"/>
      <c r="Q58" s="53"/>
    </row>
    <row r="59" spans="1:12" ht="1.5" customHeight="1" hidden="1">
      <c r="A59" s="4"/>
      <c r="B59" s="4"/>
      <c r="C59" s="57"/>
      <c r="D59" s="4"/>
      <c r="G59" s="25"/>
      <c r="I59" s="25"/>
      <c r="J59" s="5"/>
      <c r="L59" s="5"/>
    </row>
    <row r="60" spans="1:17" s="23" customFormat="1" ht="14.25" hidden="1">
      <c r="A60" s="23" t="s">
        <v>417</v>
      </c>
      <c r="G60" s="64"/>
      <c r="H60" s="53">
        <v>0</v>
      </c>
      <c r="I60" s="64"/>
      <c r="J60" s="39"/>
      <c r="L60" s="53">
        <v>0</v>
      </c>
      <c r="Q60" s="53"/>
    </row>
    <row r="61" spans="1:17" s="23" customFormat="1" ht="1.5" customHeight="1">
      <c r="A61" s="4"/>
      <c r="B61" s="4"/>
      <c r="C61" s="57"/>
      <c r="D61" s="57"/>
      <c r="G61" s="64"/>
      <c r="H61" s="53"/>
      <c r="I61" s="64"/>
      <c r="J61" s="10"/>
      <c r="L61" s="10"/>
      <c r="Q61" s="53"/>
    </row>
    <row r="62" spans="1:17" s="243" customFormat="1" ht="15" hidden="1">
      <c r="A62" s="226" t="s">
        <v>418</v>
      </c>
      <c r="B62" s="226"/>
      <c r="C62" s="410"/>
      <c r="D62" s="410"/>
      <c r="G62" s="411"/>
      <c r="H62" s="84"/>
      <c r="I62" s="411"/>
      <c r="J62" s="412"/>
      <c r="L62" s="412">
        <v>1001452582</v>
      </c>
      <c r="Q62" s="84"/>
    </row>
    <row r="63" spans="1:17" s="243" customFormat="1" ht="3" customHeight="1">
      <c r="A63" s="226"/>
      <c r="B63" s="226"/>
      <c r="C63" s="410"/>
      <c r="D63" s="410"/>
      <c r="G63" s="411"/>
      <c r="H63" s="84"/>
      <c r="I63" s="411"/>
      <c r="J63" s="412"/>
      <c r="L63" s="412"/>
      <c r="Q63" s="84"/>
    </row>
    <row r="64" spans="1:17" s="243" customFormat="1" ht="15" hidden="1">
      <c r="A64" s="226" t="s">
        <v>419</v>
      </c>
      <c r="C64" s="413"/>
      <c r="D64" s="413"/>
      <c r="G64" s="411"/>
      <c r="H64" s="84"/>
      <c r="I64" s="411"/>
      <c r="J64" s="414"/>
      <c r="L64" s="414">
        <f>SUM(L65:L69)</f>
        <v>-849996757</v>
      </c>
      <c r="Q64" s="84"/>
    </row>
    <row r="65" spans="1:17" s="243" customFormat="1" ht="15" hidden="1">
      <c r="A65" s="252" t="s">
        <v>332</v>
      </c>
      <c r="B65" s="226"/>
      <c r="C65" s="410"/>
      <c r="D65" s="410"/>
      <c r="G65" s="411"/>
      <c r="H65" s="84"/>
      <c r="I65" s="411"/>
      <c r="J65" s="369">
        <v>0</v>
      </c>
      <c r="L65" s="369">
        <v>0</v>
      </c>
      <c r="Q65" s="84"/>
    </row>
    <row r="66" spans="1:17" s="243" customFormat="1" ht="15" hidden="1">
      <c r="A66" s="252" t="s">
        <v>200</v>
      </c>
      <c r="B66" s="226"/>
      <c r="C66" s="410"/>
      <c r="D66" s="410"/>
      <c r="G66" s="411"/>
      <c r="H66" s="84"/>
      <c r="I66" s="411"/>
      <c r="J66" s="369">
        <v>0</v>
      </c>
      <c r="L66" s="369">
        <v>-75669647</v>
      </c>
      <c r="Q66" s="84"/>
    </row>
    <row r="67" spans="1:17" s="243" customFormat="1" ht="15" hidden="1">
      <c r="A67" s="252" t="s">
        <v>199</v>
      </c>
      <c r="B67" s="226"/>
      <c r="C67" s="410"/>
      <c r="D67" s="410"/>
      <c r="G67" s="411"/>
      <c r="H67" s="84"/>
      <c r="I67" s="411"/>
      <c r="J67" s="369">
        <v>0</v>
      </c>
      <c r="L67" s="369">
        <v>-100000000</v>
      </c>
      <c r="Q67" s="84"/>
    </row>
    <row r="68" spans="1:17" s="243" customFormat="1" ht="15" hidden="1">
      <c r="A68" s="252" t="s">
        <v>476</v>
      </c>
      <c r="B68" s="226"/>
      <c r="C68" s="410"/>
      <c r="D68" s="410"/>
      <c r="E68" s="412"/>
      <c r="G68" s="411"/>
      <c r="H68" s="84"/>
      <c r="I68" s="411"/>
      <c r="J68" s="369">
        <v>0</v>
      </c>
      <c r="L68" s="369">
        <v>0</v>
      </c>
      <c r="Q68" s="84"/>
    </row>
    <row r="69" spans="1:17" s="243" customFormat="1" ht="14.25" hidden="1">
      <c r="A69" s="252" t="s">
        <v>446</v>
      </c>
      <c r="C69" s="413"/>
      <c r="D69" s="413"/>
      <c r="G69" s="411"/>
      <c r="H69" s="84"/>
      <c r="I69" s="411"/>
      <c r="J69" s="414"/>
      <c r="L69" s="414">
        <v>-674327110</v>
      </c>
      <c r="Q69" s="84"/>
    </row>
    <row r="70" spans="1:17" s="243" customFormat="1" ht="3" customHeight="1">
      <c r="A70" s="261"/>
      <c r="B70" s="226"/>
      <c r="C70" s="410"/>
      <c r="D70" s="410"/>
      <c r="G70" s="411"/>
      <c r="H70" s="84"/>
      <c r="I70" s="411"/>
      <c r="J70" s="369"/>
      <c r="L70" s="369"/>
      <c r="Q70" s="84"/>
    </row>
    <row r="71" spans="1:17" s="243" customFormat="1" ht="15" hidden="1">
      <c r="A71" s="226" t="s">
        <v>313</v>
      </c>
      <c r="B71" s="226"/>
      <c r="C71" s="410"/>
      <c r="D71" s="410"/>
      <c r="G71" s="411"/>
      <c r="H71" s="412">
        <f>H55+H62+H60+H64</f>
        <v>2697109389.803606</v>
      </c>
      <c r="I71" s="411"/>
      <c r="J71" s="412">
        <f>J55+J60+J62+J64</f>
        <v>1602091872</v>
      </c>
      <c r="L71" s="412">
        <f>L55+L60+L62+L64</f>
        <v>3467808705</v>
      </c>
      <c r="M71" s="268"/>
      <c r="N71" s="268">
        <f>L71-'BS&amp;PLcanam'!K143</f>
        <v>0</v>
      </c>
      <c r="Q71" s="84"/>
    </row>
    <row r="72" spans="1:17" s="23" customFormat="1" ht="3" customHeight="1">
      <c r="A72" s="4"/>
      <c r="B72" s="4"/>
      <c r="C72" s="57"/>
      <c r="D72" s="57"/>
      <c r="G72" s="64"/>
      <c r="H72" s="53"/>
      <c r="I72" s="64"/>
      <c r="J72" s="10"/>
      <c r="L72" s="10"/>
      <c r="Q72" s="53"/>
    </row>
    <row r="73" spans="1:17" s="23" customFormat="1" ht="3" customHeight="1">
      <c r="A73" s="4"/>
      <c r="B73" s="4"/>
      <c r="C73" s="57"/>
      <c r="D73" s="57"/>
      <c r="G73" s="64"/>
      <c r="H73" s="53"/>
      <c r="I73" s="64"/>
      <c r="J73" s="10"/>
      <c r="L73" s="10"/>
      <c r="Q73" s="53"/>
    </row>
    <row r="74" spans="1:17" s="23" customFormat="1" ht="3.75" customHeight="1">
      <c r="A74" s="4"/>
      <c r="B74" s="4"/>
      <c r="C74" s="57"/>
      <c r="D74" s="57"/>
      <c r="G74" s="64"/>
      <c r="H74" s="53"/>
      <c r="I74" s="64"/>
      <c r="J74" s="10"/>
      <c r="L74" s="10"/>
      <c r="Q74" s="53"/>
    </row>
    <row r="75" spans="3:12" ht="13.5" customHeight="1">
      <c r="C75" s="456"/>
      <c r="D75" s="456"/>
      <c r="E75" s="456"/>
      <c r="F75" s="456"/>
      <c r="G75" s="456"/>
      <c r="H75" s="571" t="s">
        <v>536</v>
      </c>
      <c r="I75" s="571"/>
      <c r="J75" s="571"/>
      <c r="K75" s="456"/>
      <c r="L75" s="456"/>
    </row>
    <row r="76" spans="3:12" ht="1.5" customHeight="1">
      <c r="C76" s="456"/>
      <c r="D76" s="456"/>
      <c r="E76" s="456"/>
      <c r="F76" s="456"/>
      <c r="G76" s="456"/>
      <c r="H76" s="263"/>
      <c r="I76" s="263"/>
      <c r="J76" s="263"/>
      <c r="K76" s="456"/>
      <c r="L76" s="456"/>
    </row>
    <row r="77" spans="2:12" ht="18" customHeight="1">
      <c r="B77"/>
      <c r="C77"/>
      <c r="D77"/>
      <c r="E77" s="596" t="str">
        <f>'BS&amp;PLcanam'!E152:K152</f>
        <v>CÔNG TY CỔ PHẦN XÂY DỰNG NĂNG LƯỢNG</v>
      </c>
      <c r="F77" s="596"/>
      <c r="G77" s="596"/>
      <c r="H77" s="596"/>
      <c r="I77" s="596"/>
      <c r="J77" s="596"/>
      <c r="K77" s="596"/>
      <c r="L77" s="596"/>
    </row>
    <row r="78" spans="1:12" ht="2.25" customHeight="1">
      <c r="A78" s="90"/>
      <c r="B78" s="90"/>
      <c r="C78" s="90"/>
      <c r="D78" s="90"/>
      <c r="E78" s="90"/>
      <c r="F78" s="90"/>
      <c r="G78" s="90"/>
      <c r="H78" s="460"/>
      <c r="I78" s="90"/>
      <c r="J78" s="162"/>
      <c r="K78" s="162"/>
      <c r="L78" s="162"/>
    </row>
    <row r="79" spans="1:17" s="4" customFormat="1" ht="16.5" customHeight="1">
      <c r="A79" s="3" t="s">
        <v>284</v>
      </c>
      <c r="B79" s="560"/>
      <c r="C79" s="560"/>
      <c r="D79" s="560"/>
      <c r="E79" s="560"/>
      <c r="F79" s="560"/>
      <c r="G79" s="560"/>
      <c r="H79" s="597" t="s">
        <v>373</v>
      </c>
      <c r="I79" s="597"/>
      <c r="J79" s="597"/>
      <c r="K79" s="597"/>
      <c r="L79" s="597"/>
      <c r="Q79" s="5"/>
    </row>
    <row r="80" spans="1:17" s="4" customFormat="1" ht="16.5" customHeight="1">
      <c r="A80" s="3"/>
      <c r="B80" s="3"/>
      <c r="C80" s="3"/>
      <c r="D80" s="3"/>
      <c r="E80" s="3"/>
      <c r="F80" s="3"/>
      <c r="G80" s="3"/>
      <c r="H80" s="548"/>
      <c r="I80" s="548"/>
      <c r="J80" s="548"/>
      <c r="K80" s="548"/>
      <c r="L80" s="548"/>
      <c r="Q80" s="5"/>
    </row>
    <row r="81" spans="1:17" s="4" customFormat="1" ht="16.5" customHeight="1">
      <c r="A81" s="3"/>
      <c r="B81" s="3"/>
      <c r="C81" s="3"/>
      <c r="D81" s="3"/>
      <c r="E81" s="3"/>
      <c r="F81" s="3"/>
      <c r="G81" s="3"/>
      <c r="H81" s="548"/>
      <c r="I81" s="548"/>
      <c r="J81" s="548"/>
      <c r="K81" s="548"/>
      <c r="L81" s="548"/>
      <c r="Q81" s="5"/>
    </row>
    <row r="82" spans="1:17" s="4" customFormat="1" ht="16.5" customHeight="1">
      <c r="A82" s="3"/>
      <c r="B82" s="3"/>
      <c r="C82" s="3"/>
      <c r="D82" s="3"/>
      <c r="E82" s="3"/>
      <c r="F82" s="3"/>
      <c r="G82" s="3"/>
      <c r="H82" s="548"/>
      <c r="I82" s="548"/>
      <c r="J82" s="548"/>
      <c r="K82" s="548"/>
      <c r="L82" s="548"/>
      <c r="Q82" s="5"/>
    </row>
    <row r="83" spans="7:17" s="328" customFormat="1" ht="7.5" customHeight="1">
      <c r="G83" s="329"/>
      <c r="H83" s="330"/>
      <c r="I83" s="329"/>
      <c r="J83" s="330"/>
      <c r="L83" s="331"/>
      <c r="Q83" s="330"/>
    </row>
    <row r="84" spans="7:17" s="328" customFormat="1" ht="7.5" customHeight="1">
      <c r="G84" s="329"/>
      <c r="H84" s="330"/>
      <c r="I84" s="329"/>
      <c r="J84" s="330"/>
      <c r="L84" s="331"/>
      <c r="Q84" s="330"/>
    </row>
    <row r="85" spans="7:17" s="328" customFormat="1" ht="13.5" customHeight="1">
      <c r="G85" s="329"/>
      <c r="H85" s="330"/>
      <c r="I85" s="329"/>
      <c r="J85" s="330"/>
      <c r="L85" s="331"/>
      <c r="Q85" s="330"/>
    </row>
    <row r="86" spans="1:17" s="327" customFormat="1" ht="30" customHeight="1">
      <c r="A86" s="326" t="s">
        <v>525</v>
      </c>
      <c r="B86" s="558"/>
      <c r="C86" s="558"/>
      <c r="D86" s="558"/>
      <c r="E86" s="558"/>
      <c r="F86" s="558"/>
      <c r="G86" s="558"/>
      <c r="H86" s="558" t="s">
        <v>524</v>
      </c>
      <c r="I86" s="558"/>
      <c r="J86" s="558"/>
      <c r="K86" s="558"/>
      <c r="L86" s="558"/>
      <c r="Q86" s="532"/>
    </row>
    <row r="87" spans="1:17" s="327" customFormat="1" ht="16.5" customHeight="1">
      <c r="A87" s="326"/>
      <c r="B87" s="326"/>
      <c r="C87" s="326"/>
      <c r="D87" s="326"/>
      <c r="E87" s="326"/>
      <c r="F87" s="326"/>
      <c r="G87" s="326"/>
      <c r="H87" s="326"/>
      <c r="I87" s="326"/>
      <c r="J87" s="326"/>
      <c r="K87" s="326"/>
      <c r="L87" s="326"/>
      <c r="Q87" s="532"/>
    </row>
    <row r="103" spans="1:10" ht="14.25">
      <c r="A103" s="476"/>
      <c r="B103" s="476"/>
      <c r="C103" s="476"/>
      <c r="D103" s="476"/>
      <c r="E103" s="476"/>
      <c r="F103" s="476"/>
      <c r="G103" s="476"/>
      <c r="H103" s="477"/>
      <c r="I103" s="476"/>
      <c r="J103" s="476"/>
    </row>
    <row r="104" spans="1:10" ht="14.25">
      <c r="A104" s="476"/>
      <c r="B104" s="476"/>
      <c r="C104" s="476"/>
      <c r="D104" s="476"/>
      <c r="E104" s="476"/>
      <c r="F104" s="476"/>
      <c r="G104" s="476"/>
      <c r="H104" s="477"/>
      <c r="I104" s="476"/>
      <c r="J104" s="476"/>
    </row>
    <row r="105" spans="1:10" ht="14.25">
      <c r="A105" s="476"/>
      <c r="B105" s="476"/>
      <c r="C105" s="476"/>
      <c r="D105" s="476"/>
      <c r="E105" s="476"/>
      <c r="F105" s="476"/>
      <c r="G105" s="476"/>
      <c r="H105" s="477"/>
      <c r="I105" s="476"/>
      <c r="J105" s="476"/>
    </row>
    <row r="106" spans="1:10" ht="14.25">
      <c r="A106" s="476"/>
      <c r="B106" s="476"/>
      <c r="C106" s="476"/>
      <c r="D106" s="476"/>
      <c r="E106" s="476"/>
      <c r="F106" s="476"/>
      <c r="G106" s="476"/>
      <c r="H106" s="477"/>
      <c r="I106" s="476"/>
      <c r="J106" s="476"/>
    </row>
    <row r="107" spans="1:10" ht="14.25">
      <c r="A107" s="476"/>
      <c r="B107" s="476"/>
      <c r="C107" s="476"/>
      <c r="D107" s="476"/>
      <c r="E107" s="476"/>
      <c r="F107" s="476"/>
      <c r="G107" s="476"/>
      <c r="H107" s="477"/>
      <c r="I107" s="476"/>
      <c r="J107" s="476"/>
    </row>
    <row r="108" spans="1:10" ht="14.25">
      <c r="A108" s="476"/>
      <c r="B108" s="476"/>
      <c r="C108" s="476"/>
      <c r="D108" s="476"/>
      <c r="E108" s="476"/>
      <c r="F108" s="476"/>
      <c r="G108" s="476"/>
      <c r="H108" s="477"/>
      <c r="I108" s="476"/>
      <c r="J108" s="476"/>
    </row>
  </sheetData>
  <mergeCells count="16">
    <mergeCell ref="J9:L9"/>
    <mergeCell ref="B79:G79"/>
    <mergeCell ref="E77:L77"/>
    <mergeCell ref="H10:H11"/>
    <mergeCell ref="H79:L79"/>
    <mergeCell ref="H75:J75"/>
    <mergeCell ref="H86:L86"/>
    <mergeCell ref="B86:G86"/>
    <mergeCell ref="A2:G2"/>
    <mergeCell ref="A8:L8"/>
    <mergeCell ref="A10:A11"/>
    <mergeCell ref="C10:C11"/>
    <mergeCell ref="E10:E11"/>
    <mergeCell ref="J10:J11"/>
    <mergeCell ref="L10:L11"/>
    <mergeCell ref="A7:L7"/>
  </mergeCells>
  <printOptions/>
  <pageMargins left="0.65" right="0.3" top="0.2" bottom="0.2" header="0.22" footer="0"/>
  <pageSetup firstPageNumber="8"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374"/>
  <sheetViews>
    <sheetView tabSelected="1" view="pageBreakPreview" zoomScaleSheetLayoutView="100" workbookViewId="0" topLeftCell="A314">
      <selection activeCell="I329" sqref="I329"/>
    </sheetView>
  </sheetViews>
  <sheetFormatPr defaultColWidth="8.796875" defaultRowHeight="15"/>
  <cols>
    <col min="1" max="1" width="3.3984375" style="106" customWidth="1"/>
    <col min="2" max="2" width="0.6953125" style="106" customWidth="1"/>
    <col min="3" max="3" width="18.69921875" style="104" customWidth="1"/>
    <col min="4" max="4" width="0.6953125" style="104" customWidth="1"/>
    <col min="5" max="5" width="14.69921875" style="104" customWidth="1"/>
    <col min="6" max="6" width="0.6953125" style="104" customWidth="1"/>
    <col min="7" max="7" width="14.8984375" style="104" customWidth="1"/>
    <col min="8" max="8" width="0.6953125" style="104" customWidth="1"/>
    <col min="9" max="9" width="16.19921875" style="104" customWidth="1"/>
    <col min="10" max="10" width="0.6953125" style="104" customWidth="1"/>
    <col min="11" max="11" width="16.5" style="428" customWidth="1"/>
    <col min="12" max="16384" width="24.5" style="104" customWidth="1"/>
  </cols>
  <sheetData>
    <row r="1" spans="1:11" s="33" customFormat="1" ht="18" customHeight="1">
      <c r="A1" s="332" t="str">
        <f>'[4]BS&amp;PLcanam'!A1</f>
        <v>CÔNG TY CỔ PHẦN XÂY DỰNG NĂNG LƯỢNG</v>
      </c>
      <c r="B1" s="79"/>
      <c r="K1" s="481" t="s">
        <v>415</v>
      </c>
    </row>
    <row r="2" spans="1:11" s="33" customFormat="1" ht="16.5" customHeight="1">
      <c r="A2" s="333" t="str">
        <f>'[4]BS&amp;PLcanam'!A2</f>
        <v>Tầng 7, tòa nhà Sông Đà, đường Phạm Hùng, Mỹ Đình, Từ Liêm, Hà Nội</v>
      </c>
      <c r="B2" s="35"/>
      <c r="K2" s="482" t="s">
        <v>537</v>
      </c>
    </row>
    <row r="3" spans="1:11" s="33" customFormat="1" ht="16.5" customHeight="1">
      <c r="A3" s="103" t="str">
        <f>'[4]BS&amp;PLcanam'!A3</f>
        <v>Tel: (84 4) 7 684 111                             Fax: (84 4) 7 684 644</v>
      </c>
      <c r="B3" s="103"/>
      <c r="C3" s="32"/>
      <c r="D3" s="32"/>
      <c r="E3" s="32"/>
      <c r="F3" s="32"/>
      <c r="G3" s="32"/>
      <c r="H3" s="32"/>
      <c r="I3" s="32"/>
      <c r="J3" s="32"/>
      <c r="K3" s="212"/>
    </row>
    <row r="4" spans="1:11" s="33" customFormat="1" ht="6" customHeight="1">
      <c r="A4" s="60"/>
      <c r="B4" s="60"/>
      <c r="K4" s="191"/>
    </row>
    <row r="5" spans="1:11" s="33" customFormat="1" ht="16.5" customHeight="1">
      <c r="A5" s="42"/>
      <c r="B5" s="91"/>
      <c r="C5" s="92"/>
      <c r="D5" s="92"/>
      <c r="E5" s="92"/>
      <c r="F5" s="92"/>
      <c r="G5" s="92"/>
      <c r="H5" s="92"/>
      <c r="I5" s="92"/>
      <c r="J5" s="92"/>
      <c r="K5" s="95" t="s">
        <v>223</v>
      </c>
    </row>
    <row r="6" spans="1:11" s="33" customFormat="1" ht="19.5" customHeight="1">
      <c r="A6" s="97" t="s">
        <v>224</v>
      </c>
      <c r="B6" s="97"/>
      <c r="C6" s="97"/>
      <c r="D6" s="97"/>
      <c r="E6" s="97"/>
      <c r="F6" s="97"/>
      <c r="G6" s="97"/>
      <c r="H6" s="97"/>
      <c r="I6" s="97"/>
      <c r="J6" s="97"/>
      <c r="K6" s="483"/>
    </row>
    <row r="7" spans="1:11" s="33" customFormat="1" ht="16.5" customHeight="1">
      <c r="A7" s="605" t="s">
        <v>537</v>
      </c>
      <c r="B7" s="605"/>
      <c r="C7" s="605"/>
      <c r="D7" s="605"/>
      <c r="E7" s="605"/>
      <c r="F7" s="605"/>
      <c r="G7" s="605"/>
      <c r="H7" s="605"/>
      <c r="I7" s="605"/>
      <c r="J7" s="605"/>
      <c r="K7" s="605"/>
    </row>
    <row r="8" spans="1:11" s="33" customFormat="1" ht="16.5" customHeight="1">
      <c r="A8" s="101" t="s">
        <v>225</v>
      </c>
      <c r="B8" s="99"/>
      <c r="C8" s="99"/>
      <c r="D8" s="99"/>
      <c r="E8" s="99"/>
      <c r="F8" s="99"/>
      <c r="G8" s="99"/>
      <c r="H8" s="99"/>
      <c r="I8" s="99"/>
      <c r="J8" s="99"/>
      <c r="K8" s="484"/>
    </row>
    <row r="9" spans="1:11" s="33" customFormat="1" ht="8.25" customHeight="1">
      <c r="A9" s="3"/>
      <c r="B9" s="82"/>
      <c r="C9" s="85"/>
      <c r="D9" s="85"/>
      <c r="E9" s="85"/>
      <c r="F9" s="85"/>
      <c r="G9" s="85"/>
      <c r="H9" s="85"/>
      <c r="I9" s="85"/>
      <c r="J9" s="85"/>
      <c r="K9" s="485"/>
    </row>
    <row r="10" spans="1:11" s="33" customFormat="1" ht="8.25" customHeight="1">
      <c r="A10" s="3"/>
      <c r="B10" s="82"/>
      <c r="C10" s="85"/>
      <c r="D10" s="85"/>
      <c r="E10" s="85"/>
      <c r="F10" s="85"/>
      <c r="G10" s="85"/>
      <c r="H10" s="85"/>
      <c r="I10" s="85"/>
      <c r="J10" s="85"/>
      <c r="K10" s="485"/>
    </row>
    <row r="11" spans="1:11" s="33" customFormat="1" ht="8.25" customHeight="1">
      <c r="A11" s="3"/>
      <c r="B11" s="82"/>
      <c r="C11" s="85"/>
      <c r="D11" s="85"/>
      <c r="E11" s="85"/>
      <c r="F11" s="85"/>
      <c r="G11" s="85"/>
      <c r="H11" s="85"/>
      <c r="I11" s="85"/>
      <c r="J11" s="85"/>
      <c r="K11" s="485"/>
    </row>
    <row r="12" spans="1:11" s="33" customFormat="1" ht="8.25" customHeight="1">
      <c r="A12" s="3"/>
      <c r="B12" s="82"/>
      <c r="C12" s="85"/>
      <c r="D12" s="85"/>
      <c r="E12" s="85"/>
      <c r="F12" s="85"/>
      <c r="G12" s="85"/>
      <c r="H12" s="85"/>
      <c r="I12" s="85"/>
      <c r="J12" s="85"/>
      <c r="K12" s="485"/>
    </row>
    <row r="13" spans="1:11" s="33" customFormat="1" ht="18" customHeight="1">
      <c r="A13" s="3" t="s">
        <v>226</v>
      </c>
      <c r="B13" s="82"/>
      <c r="C13" s="98" t="s">
        <v>414</v>
      </c>
      <c r="D13" s="85"/>
      <c r="E13" s="85"/>
      <c r="F13" s="85"/>
      <c r="G13" s="85"/>
      <c r="H13" s="85"/>
      <c r="I13" s="85"/>
      <c r="J13" s="85"/>
      <c r="K13" s="485"/>
    </row>
    <row r="14" ht="3" customHeight="1"/>
    <row r="15" spans="1:11" s="136" customFormat="1" ht="18" customHeight="1">
      <c r="A15" s="134" t="s">
        <v>227</v>
      </c>
      <c r="B15" s="135"/>
      <c r="C15" s="135" t="s">
        <v>420</v>
      </c>
      <c r="I15" s="421" t="s">
        <v>527</v>
      </c>
      <c r="J15" s="135"/>
      <c r="K15" s="488" t="s">
        <v>540</v>
      </c>
    </row>
    <row r="16" spans="1:11" s="136" customFormat="1" ht="16.5" customHeight="1">
      <c r="A16" s="135"/>
      <c r="B16" s="135"/>
      <c r="C16" s="135"/>
      <c r="I16" s="138" t="s">
        <v>246</v>
      </c>
      <c r="J16" s="139"/>
      <c r="K16" s="422" t="s">
        <v>246</v>
      </c>
    </row>
    <row r="17" spans="1:11" s="136" customFormat="1" ht="6" customHeight="1">
      <c r="A17" s="135"/>
      <c r="B17" s="135"/>
      <c r="K17" s="191"/>
    </row>
    <row r="18" spans="3:11" s="136" customFormat="1" ht="18" customHeight="1">
      <c r="C18" s="136" t="s">
        <v>228</v>
      </c>
      <c r="I18" s="486">
        <f>1084098614</f>
        <v>1084098614</v>
      </c>
      <c r="K18" s="486">
        <v>495573330</v>
      </c>
    </row>
    <row r="19" spans="3:11" s="136" customFormat="1" ht="18" customHeight="1">
      <c r="C19" s="136" t="s">
        <v>248</v>
      </c>
      <c r="I19" s="487">
        <v>1700597810</v>
      </c>
      <c r="K19" s="487">
        <v>12612246</v>
      </c>
    </row>
    <row r="20" spans="3:11" s="136" customFormat="1" ht="18" customHeight="1">
      <c r="C20" s="136" t="s">
        <v>494</v>
      </c>
      <c r="I20" s="487">
        <v>0</v>
      </c>
      <c r="K20" s="487">
        <v>915000000</v>
      </c>
    </row>
    <row r="21" spans="1:11" s="136" customFormat="1" ht="5.25" customHeight="1">
      <c r="A21" s="135"/>
      <c r="B21" s="135"/>
      <c r="C21" s="135"/>
      <c r="I21" s="141"/>
      <c r="K21" s="421"/>
    </row>
    <row r="22" spans="1:11" s="136" customFormat="1" ht="18" customHeight="1" thickBot="1">
      <c r="A22" s="135"/>
      <c r="B22" s="135"/>
      <c r="C22" s="135" t="s">
        <v>229</v>
      </c>
      <c r="I22" s="143">
        <f>SUM(I18:I21)</f>
        <v>2784696424</v>
      </c>
      <c r="K22" s="423">
        <f>SUM(K18:K21)</f>
        <v>1423185576</v>
      </c>
    </row>
    <row r="23" spans="9:11" ht="18" customHeight="1" thickTop="1">
      <c r="I23" s="112"/>
      <c r="J23" s="108"/>
      <c r="K23" s="488"/>
    </row>
    <row r="24" spans="1:11" s="136" customFormat="1" ht="18" customHeight="1">
      <c r="A24" s="148" t="s">
        <v>363</v>
      </c>
      <c r="B24" s="135"/>
      <c r="C24" s="334" t="s">
        <v>95</v>
      </c>
      <c r="I24" s="421" t="s">
        <v>527</v>
      </c>
      <c r="J24" s="135"/>
      <c r="K24" s="488" t="s">
        <v>540</v>
      </c>
    </row>
    <row r="25" spans="1:11" s="136" customFormat="1" ht="18" customHeight="1">
      <c r="A25" s="135"/>
      <c r="B25" s="135"/>
      <c r="C25" s="135"/>
      <c r="I25" s="138" t="s">
        <v>246</v>
      </c>
      <c r="J25" s="139"/>
      <c r="K25" s="422" t="s">
        <v>246</v>
      </c>
    </row>
    <row r="26" spans="3:11" s="136" customFormat="1" ht="18" customHeight="1">
      <c r="C26" s="335" t="s">
        <v>96</v>
      </c>
      <c r="I26" s="146">
        <f>11439163246</f>
        <v>11439163246</v>
      </c>
      <c r="K26" s="146">
        <f>10939163246-500000000</f>
        <v>10439163246</v>
      </c>
    </row>
    <row r="27" spans="3:11" s="136" customFormat="1" ht="18" customHeight="1">
      <c r="C27" s="335" t="s">
        <v>18</v>
      </c>
      <c r="I27" s="146"/>
      <c r="K27" s="146">
        <v>0</v>
      </c>
    </row>
    <row r="28" spans="3:11" s="136" customFormat="1" ht="18" customHeight="1">
      <c r="C28" s="335" t="s">
        <v>1</v>
      </c>
      <c r="I28" s="146">
        <v>500000000</v>
      </c>
      <c r="K28" s="146">
        <v>500000000</v>
      </c>
    </row>
    <row r="29" spans="3:11" s="136" customFormat="1" ht="18" customHeight="1">
      <c r="C29" s="335" t="s">
        <v>18</v>
      </c>
      <c r="I29" s="146"/>
      <c r="K29" s="146"/>
    </row>
    <row r="30" spans="3:11" s="140" customFormat="1" ht="19.5" customHeight="1">
      <c r="C30" s="335"/>
      <c r="I30" s="186"/>
      <c r="K30" s="489"/>
    </row>
    <row r="31" spans="1:12" s="136" customFormat="1" ht="18" customHeight="1" thickBot="1">
      <c r="A31" s="135"/>
      <c r="B31" s="135"/>
      <c r="C31" s="135" t="s">
        <v>229</v>
      </c>
      <c r="I31" s="143">
        <f>SUM(I26:I30)</f>
        <v>11939163246</v>
      </c>
      <c r="K31" s="423">
        <f>SUM(K26:K30)</f>
        <v>10939163246</v>
      </c>
      <c r="L31" s="146"/>
    </row>
    <row r="32" spans="1:11" s="136" customFormat="1" ht="18" customHeight="1" thickTop="1">
      <c r="A32" s="135"/>
      <c r="B32" s="135"/>
      <c r="C32" s="135"/>
      <c r="I32" s="145"/>
      <c r="K32" s="416"/>
    </row>
    <row r="33" spans="1:11" s="136" customFormat="1" ht="18" customHeight="1">
      <c r="A33" s="148" t="s">
        <v>245</v>
      </c>
      <c r="B33" s="135"/>
      <c r="C33" s="334" t="s">
        <v>56</v>
      </c>
      <c r="I33" s="421" t="s">
        <v>527</v>
      </c>
      <c r="J33" s="135"/>
      <c r="K33" s="488" t="s">
        <v>540</v>
      </c>
    </row>
    <row r="34" spans="1:11" s="136" customFormat="1" ht="18" customHeight="1">
      <c r="A34" s="135"/>
      <c r="B34" s="135"/>
      <c r="C34" s="335"/>
      <c r="I34" s="138" t="s">
        <v>246</v>
      </c>
      <c r="J34" s="139"/>
      <c r="K34" s="422" t="s">
        <v>246</v>
      </c>
    </row>
    <row r="35" spans="3:11" s="136" customFormat="1" ht="18" customHeight="1">
      <c r="C35" s="335" t="s">
        <v>57</v>
      </c>
      <c r="I35" s="192">
        <v>0</v>
      </c>
      <c r="K35" s="192">
        <v>0</v>
      </c>
    </row>
    <row r="36" spans="3:11" s="136" customFormat="1" ht="18" customHeight="1">
      <c r="C36" s="335" t="s">
        <v>509</v>
      </c>
      <c r="I36" s="192">
        <f>8440580274</f>
        <v>8440580274</v>
      </c>
      <c r="K36" s="192">
        <f>9253926637-813346363</f>
        <v>8440580274</v>
      </c>
    </row>
    <row r="37" spans="3:11" s="136" customFormat="1" ht="18" customHeight="1">
      <c r="C37" s="335" t="s">
        <v>53</v>
      </c>
      <c r="I37" s="192"/>
      <c r="K37" s="192"/>
    </row>
    <row r="38" spans="3:11" s="136" customFormat="1" ht="18" customHeight="1">
      <c r="C38" s="335" t="s">
        <v>512</v>
      </c>
      <c r="I38" s="192"/>
      <c r="K38" s="192">
        <v>42000000</v>
      </c>
    </row>
    <row r="39" spans="3:11" s="136" customFormat="1" ht="18" customHeight="1">
      <c r="C39" s="335" t="s">
        <v>58</v>
      </c>
      <c r="I39" s="192">
        <f>12358000000+512000000-220000</f>
        <v>12869780000</v>
      </c>
      <c r="K39" s="192">
        <f>44574000+1338040000+45512000+502000000</f>
        <v>1930126000</v>
      </c>
    </row>
    <row r="40" spans="3:11" s="140" customFormat="1" ht="4.5" customHeight="1">
      <c r="C40" s="335"/>
      <c r="I40" s="186"/>
      <c r="K40" s="489"/>
    </row>
    <row r="41" spans="1:12" s="136" customFormat="1" ht="18" customHeight="1" thickBot="1">
      <c r="A41" s="135"/>
      <c r="B41" s="135"/>
      <c r="C41" s="135" t="s">
        <v>229</v>
      </c>
      <c r="I41" s="143">
        <f>SUM(I35:I40)</f>
        <v>21310360274</v>
      </c>
      <c r="K41" s="423">
        <f>SUM(K35:K40)</f>
        <v>10412706274</v>
      </c>
      <c r="L41" s="146"/>
    </row>
    <row r="42" spans="1:12" s="136" customFormat="1" ht="18" customHeight="1" thickTop="1">
      <c r="A42" s="135"/>
      <c r="B42" s="135"/>
      <c r="C42" s="135"/>
      <c r="I42" s="145"/>
      <c r="K42" s="416"/>
      <c r="L42" s="146"/>
    </row>
    <row r="43" spans="1:11" s="136" customFormat="1" ht="18" customHeight="1">
      <c r="A43" s="148" t="s">
        <v>216</v>
      </c>
      <c r="B43" s="135"/>
      <c r="C43" s="334" t="s">
        <v>97</v>
      </c>
      <c r="I43" s="421" t="s">
        <v>527</v>
      </c>
      <c r="J43" s="135"/>
      <c r="K43" s="488" t="s">
        <v>540</v>
      </c>
    </row>
    <row r="44" spans="1:11" s="136" customFormat="1" ht="18" customHeight="1">
      <c r="A44" s="135"/>
      <c r="B44" s="135"/>
      <c r="C44" s="135"/>
      <c r="I44" s="138" t="s">
        <v>246</v>
      </c>
      <c r="J44" s="139"/>
      <c r="K44" s="422" t="s">
        <v>246</v>
      </c>
    </row>
    <row r="45" spans="3:11" s="136" customFormat="1" ht="18" customHeight="1">
      <c r="C45" s="335" t="s">
        <v>98</v>
      </c>
      <c r="I45" s="192">
        <v>1000486269</v>
      </c>
      <c r="K45" s="192">
        <v>792914384</v>
      </c>
    </row>
    <row r="46" spans="3:11" s="136" customFormat="1" ht="18" customHeight="1">
      <c r="C46" s="335" t="s">
        <v>99</v>
      </c>
      <c r="I46" s="192">
        <v>3001208783</v>
      </c>
      <c r="K46" s="192">
        <v>4018714173</v>
      </c>
    </row>
    <row r="47" spans="3:11" s="136" customFormat="1" ht="18" customHeight="1" hidden="1">
      <c r="C47" s="335" t="s">
        <v>100</v>
      </c>
      <c r="I47" s="192"/>
      <c r="K47" s="192"/>
    </row>
    <row r="48" spans="3:11" s="136" customFormat="1" ht="18" customHeight="1">
      <c r="C48" s="335" t="s">
        <v>101</v>
      </c>
      <c r="I48" s="192">
        <f>125728198947</f>
        <v>125728198947</v>
      </c>
      <c r="K48" s="192">
        <v>104296848860</v>
      </c>
    </row>
    <row r="49" spans="3:11" s="136" customFormat="1" ht="18" customHeight="1">
      <c r="C49" s="335" t="s">
        <v>533</v>
      </c>
      <c r="I49" s="146">
        <v>91469000</v>
      </c>
      <c r="K49" s="192">
        <v>0</v>
      </c>
    </row>
    <row r="50" spans="3:11" s="136" customFormat="1" ht="18" customHeight="1">
      <c r="C50" s="335" t="s">
        <v>499</v>
      </c>
      <c r="I50" s="146">
        <v>0</v>
      </c>
      <c r="K50" s="192">
        <v>0</v>
      </c>
    </row>
    <row r="51" spans="3:11" s="136" customFormat="1" ht="18" customHeight="1">
      <c r="C51" s="335" t="s">
        <v>498</v>
      </c>
      <c r="I51" s="146">
        <v>0</v>
      </c>
      <c r="K51" s="192">
        <v>0</v>
      </c>
    </row>
    <row r="52" spans="3:11" ht="6" customHeight="1">
      <c r="C52" s="106"/>
      <c r="I52" s="114"/>
      <c r="K52" s="416"/>
    </row>
    <row r="53" spans="1:11" s="136" customFormat="1" ht="18" customHeight="1" thickBot="1">
      <c r="A53" s="135"/>
      <c r="B53" s="135"/>
      <c r="C53" s="135" t="s">
        <v>229</v>
      </c>
      <c r="I53" s="143">
        <f>SUM(I45:I51)</f>
        <v>129821362999</v>
      </c>
      <c r="K53" s="432">
        <f>SUM(K45:K51)</f>
        <v>109108477417</v>
      </c>
    </row>
    <row r="54" spans="1:11" s="136" customFormat="1" ht="18" customHeight="1" thickTop="1">
      <c r="A54" s="135"/>
      <c r="B54" s="135"/>
      <c r="C54" s="135"/>
      <c r="I54" s="145"/>
      <c r="K54" s="416"/>
    </row>
    <row r="55" spans="1:11" s="33" customFormat="1" ht="18" customHeight="1">
      <c r="A55" s="163" t="s">
        <v>249</v>
      </c>
      <c r="B55" s="151"/>
      <c r="C55" s="336" t="s">
        <v>102</v>
      </c>
      <c r="I55" s="421" t="s">
        <v>527</v>
      </c>
      <c r="J55" s="135"/>
      <c r="K55" s="488" t="s">
        <v>540</v>
      </c>
    </row>
    <row r="56" spans="1:11" s="33" customFormat="1" ht="15">
      <c r="A56" s="60"/>
      <c r="B56" s="60"/>
      <c r="I56" s="133" t="s">
        <v>246</v>
      </c>
      <c r="J56" s="71"/>
      <c r="K56" s="422" t="s">
        <v>246</v>
      </c>
    </row>
    <row r="57" spans="3:11" s="33" customFormat="1" ht="15">
      <c r="C57" s="335" t="s">
        <v>477</v>
      </c>
      <c r="I57" s="248">
        <v>4497623671</v>
      </c>
      <c r="J57" s="69"/>
      <c r="K57" s="248">
        <v>4650901007</v>
      </c>
    </row>
    <row r="58" spans="9:11" ht="5.25" customHeight="1">
      <c r="I58" s="115"/>
      <c r="J58" s="108"/>
      <c r="K58" s="434"/>
    </row>
    <row r="59" spans="1:11" s="33" customFormat="1" ht="18" customHeight="1" thickBot="1">
      <c r="A59" s="60"/>
      <c r="B59" s="60"/>
      <c r="C59" s="60" t="s">
        <v>229</v>
      </c>
      <c r="I59" s="131">
        <f>I57</f>
        <v>4497623671</v>
      </c>
      <c r="K59" s="423">
        <f>K57</f>
        <v>4650901007</v>
      </c>
    </row>
    <row r="60" spans="1:11" s="33" customFormat="1" ht="15.75" thickTop="1">
      <c r="A60" s="60"/>
      <c r="B60" s="60"/>
      <c r="C60" s="60"/>
      <c r="I60" s="124"/>
      <c r="K60" s="416"/>
    </row>
    <row r="61" spans="1:11" s="33" customFormat="1" ht="18" customHeight="1">
      <c r="A61" s="163" t="s">
        <v>250</v>
      </c>
      <c r="B61" s="151"/>
      <c r="C61" s="336" t="s">
        <v>179</v>
      </c>
      <c r="I61" s="421" t="s">
        <v>527</v>
      </c>
      <c r="J61" s="135"/>
      <c r="K61" s="488" t="s">
        <v>540</v>
      </c>
    </row>
    <row r="62" spans="1:11" s="33" customFormat="1" ht="15">
      <c r="A62" s="60"/>
      <c r="B62" s="60"/>
      <c r="I62" s="133" t="s">
        <v>246</v>
      </c>
      <c r="J62" s="71"/>
      <c r="K62" s="422" t="s">
        <v>246</v>
      </c>
    </row>
    <row r="63" spans="3:11" s="33" customFormat="1" ht="15">
      <c r="C63" s="335" t="s">
        <v>180</v>
      </c>
      <c r="I63" s="248">
        <f>15959848819</f>
        <v>15959848819</v>
      </c>
      <c r="J63" s="69"/>
      <c r="K63" s="248">
        <v>14128458173</v>
      </c>
    </row>
    <row r="64" spans="3:11" s="33" customFormat="1" ht="15">
      <c r="C64" s="335" t="s">
        <v>59</v>
      </c>
      <c r="I64" s="248">
        <v>0</v>
      </c>
      <c r="J64" s="69"/>
      <c r="K64" s="248">
        <v>1151783700</v>
      </c>
    </row>
    <row r="65" spans="9:11" ht="5.25" customHeight="1">
      <c r="I65" s="115"/>
      <c r="J65" s="108"/>
      <c r="K65" s="434"/>
    </row>
    <row r="66" spans="1:11" s="33" customFormat="1" ht="15.75" thickBot="1">
      <c r="A66" s="60"/>
      <c r="B66" s="60"/>
      <c r="C66" s="60" t="s">
        <v>229</v>
      </c>
      <c r="I66" s="131">
        <f>SUM(I63:I65)</f>
        <v>15959848819</v>
      </c>
      <c r="K66" s="131">
        <f>SUM(K63:K65)</f>
        <v>15280241873</v>
      </c>
    </row>
    <row r="67" spans="1:11" s="33" customFormat="1" ht="15.75" thickTop="1">
      <c r="A67" s="60"/>
      <c r="B67" s="60"/>
      <c r="C67" s="60"/>
      <c r="I67" s="124"/>
      <c r="K67" s="416"/>
    </row>
    <row r="68" spans="1:11" s="33" customFormat="1" ht="18" customHeight="1">
      <c r="A68" s="125" t="s">
        <v>260</v>
      </c>
      <c r="B68" s="60"/>
      <c r="C68" s="336" t="s">
        <v>474</v>
      </c>
      <c r="E68" s="185"/>
      <c r="G68" s="129"/>
      <c r="I68" s="421" t="s">
        <v>527</v>
      </c>
      <c r="J68" s="135"/>
      <c r="K68" s="488" t="s">
        <v>540</v>
      </c>
    </row>
    <row r="69" spans="5:11" s="33" customFormat="1" ht="15">
      <c r="E69" s="185"/>
      <c r="G69" s="129"/>
      <c r="I69" s="133" t="s">
        <v>246</v>
      </c>
      <c r="K69" s="422" t="s">
        <v>246</v>
      </c>
    </row>
    <row r="70" spans="5:11" s="33" customFormat="1" ht="3.75" customHeight="1">
      <c r="E70" s="185"/>
      <c r="G70" s="129"/>
      <c r="I70" s="129"/>
      <c r="K70" s="490"/>
    </row>
    <row r="71" spans="1:11" s="33" customFormat="1" ht="15">
      <c r="A71" s="130"/>
      <c r="B71" s="130"/>
      <c r="C71" s="335" t="s">
        <v>107</v>
      </c>
      <c r="H71" s="128"/>
      <c r="I71" s="129"/>
      <c r="J71" s="46"/>
      <c r="K71" s="487"/>
    </row>
    <row r="72" spans="1:11" s="33" customFormat="1" ht="15">
      <c r="A72" s="130"/>
      <c r="B72" s="130"/>
      <c r="C72" s="335" t="s">
        <v>108</v>
      </c>
      <c r="H72" s="128"/>
      <c r="I72" s="129">
        <v>0</v>
      </c>
      <c r="J72" s="46"/>
      <c r="K72" s="129">
        <v>0</v>
      </c>
    </row>
    <row r="73" spans="1:11" s="33" customFormat="1" ht="15">
      <c r="A73" s="130"/>
      <c r="B73" s="130"/>
      <c r="C73" s="335" t="s">
        <v>109</v>
      </c>
      <c r="H73" s="128"/>
      <c r="I73" s="129">
        <v>0</v>
      </c>
      <c r="J73" s="46"/>
      <c r="K73" s="129">
        <v>0</v>
      </c>
    </row>
    <row r="74" spans="1:11" s="33" customFormat="1" ht="15">
      <c r="A74" s="130"/>
      <c r="B74" s="130"/>
      <c r="C74" s="335" t="s">
        <v>110</v>
      </c>
      <c r="H74" s="128"/>
      <c r="I74" s="129">
        <v>257000000</v>
      </c>
      <c r="J74" s="46"/>
      <c r="K74" s="129">
        <v>257000000</v>
      </c>
    </row>
    <row r="75" spans="1:11" s="33" customFormat="1" ht="15">
      <c r="A75" s="130"/>
      <c r="B75" s="130"/>
      <c r="C75" s="335" t="s">
        <v>111</v>
      </c>
      <c r="H75" s="128"/>
      <c r="I75" s="129">
        <v>250000000</v>
      </c>
      <c r="J75" s="46"/>
      <c r="K75" s="129">
        <v>250000000</v>
      </c>
    </row>
    <row r="76" spans="1:11" s="33" customFormat="1" ht="15">
      <c r="A76" s="130"/>
      <c r="B76" s="130"/>
      <c r="C76" s="335" t="s">
        <v>2</v>
      </c>
      <c r="H76" s="128"/>
      <c r="I76" s="129">
        <f>170000000+100000000+30000000</f>
        <v>300000000</v>
      </c>
      <c r="J76" s="46"/>
      <c r="K76" s="129">
        <f>170000000+100000000+30000000</f>
        <v>300000000</v>
      </c>
    </row>
    <row r="77" spans="1:11" s="33" customFormat="1" ht="6.75" customHeight="1">
      <c r="A77" s="60"/>
      <c r="B77" s="60"/>
      <c r="I77" s="129"/>
      <c r="J77" s="71"/>
      <c r="K77" s="491"/>
    </row>
    <row r="78" spans="1:11" s="33" customFormat="1" ht="18" customHeight="1" thickBot="1">
      <c r="A78" s="60"/>
      <c r="B78" s="60"/>
      <c r="C78" s="60" t="s">
        <v>229</v>
      </c>
      <c r="I78" s="131">
        <f>SUM(I72:I76)</f>
        <v>807000000</v>
      </c>
      <c r="K78" s="423">
        <f>SUM(K72:K77)</f>
        <v>807000000</v>
      </c>
    </row>
    <row r="79" spans="3:11" ht="18.75" customHeight="1" thickTop="1">
      <c r="C79" s="106"/>
      <c r="E79" s="109"/>
      <c r="G79" s="110"/>
      <c r="I79" s="110"/>
      <c r="K79" s="416"/>
    </row>
    <row r="80" spans="1:11" s="136" customFormat="1" ht="18" customHeight="1">
      <c r="A80" s="125" t="s">
        <v>262</v>
      </c>
      <c r="B80" s="135"/>
      <c r="C80" s="135" t="s">
        <v>230</v>
      </c>
      <c r="E80" s="147"/>
      <c r="F80" s="147"/>
      <c r="G80" s="147"/>
      <c r="H80" s="147"/>
      <c r="I80" s="421" t="s">
        <v>527</v>
      </c>
      <c r="J80" s="135"/>
      <c r="K80" s="488" t="s">
        <v>540</v>
      </c>
    </row>
    <row r="81" spans="1:11" s="136" customFormat="1" ht="13.5" customHeight="1">
      <c r="A81" s="135"/>
      <c r="B81" s="135"/>
      <c r="E81" s="147"/>
      <c r="F81" s="147"/>
      <c r="G81" s="147"/>
      <c r="H81" s="147"/>
      <c r="I81" s="138" t="s">
        <v>246</v>
      </c>
      <c r="K81" s="422" t="s">
        <v>246</v>
      </c>
    </row>
    <row r="82" spans="1:11" s="136" customFormat="1" ht="3.75" customHeight="1">
      <c r="A82" s="135"/>
      <c r="B82" s="135"/>
      <c r="E82" s="144"/>
      <c r="G82" s="142"/>
      <c r="I82" s="142"/>
      <c r="K82" s="192"/>
    </row>
    <row r="83" spans="1:11" s="136" customFormat="1" ht="15">
      <c r="A83" s="135"/>
      <c r="B83" s="135"/>
      <c r="C83" s="341" t="s">
        <v>478</v>
      </c>
      <c r="I83" s="248">
        <v>1926637924</v>
      </c>
      <c r="J83" s="139"/>
      <c r="K83" s="248">
        <v>3722971517</v>
      </c>
    </row>
    <row r="84" spans="1:11" s="136" customFormat="1" ht="15">
      <c r="A84" s="135"/>
      <c r="B84" s="135"/>
      <c r="C84" s="341" t="s">
        <v>510</v>
      </c>
      <c r="I84" s="248"/>
      <c r="J84" s="139"/>
      <c r="K84" s="248"/>
    </row>
    <row r="85" spans="1:11" s="136" customFormat="1" ht="15.75" thickBot="1">
      <c r="A85" s="135"/>
      <c r="B85" s="135"/>
      <c r="C85" s="135" t="s">
        <v>229</v>
      </c>
      <c r="I85" s="143">
        <f>I83+I84</f>
        <v>1926637924</v>
      </c>
      <c r="K85" s="423">
        <f>K83+K84</f>
        <v>3722971517</v>
      </c>
    </row>
    <row r="86" ht="17.25" customHeight="1" thickTop="1">
      <c r="K86" s="191"/>
    </row>
    <row r="87" spans="1:11" s="33" customFormat="1" ht="15">
      <c r="A87" s="125" t="s">
        <v>263</v>
      </c>
      <c r="B87" s="60"/>
      <c r="C87" s="60" t="s">
        <v>231</v>
      </c>
      <c r="E87" s="42"/>
      <c r="F87" s="42"/>
      <c r="G87" s="42"/>
      <c r="H87" s="42"/>
      <c r="I87" s="421" t="s">
        <v>527</v>
      </c>
      <c r="J87" s="135"/>
      <c r="K87" s="488" t="s">
        <v>532</v>
      </c>
    </row>
    <row r="88" spans="1:11" s="33" customFormat="1" ht="15">
      <c r="A88" s="60"/>
      <c r="B88" s="60"/>
      <c r="E88" s="42"/>
      <c r="F88" s="42"/>
      <c r="G88" s="42"/>
      <c r="H88" s="42"/>
      <c r="I88" s="133" t="s">
        <v>246</v>
      </c>
      <c r="K88" s="422" t="s">
        <v>246</v>
      </c>
    </row>
    <row r="89" spans="1:11" s="33" customFormat="1" ht="4.5" customHeight="1">
      <c r="A89" s="60"/>
      <c r="B89" s="60"/>
      <c r="E89" s="42"/>
      <c r="F89" s="42"/>
      <c r="G89" s="42"/>
      <c r="H89" s="42"/>
      <c r="I89" s="164"/>
      <c r="K89" s="488"/>
    </row>
    <row r="90" spans="3:11" s="60" customFormat="1" ht="15">
      <c r="C90" s="335" t="s">
        <v>112</v>
      </c>
      <c r="E90" s="42"/>
      <c r="F90" s="42"/>
      <c r="G90" s="42"/>
      <c r="H90" s="42"/>
      <c r="I90" s="550">
        <f>+I91+I94+I95</f>
        <v>150824120829</v>
      </c>
      <c r="K90" s="550">
        <f>+K91+K94+K95</f>
        <v>126135050996</v>
      </c>
    </row>
    <row r="91" spans="3:11" s="33" customFormat="1" ht="16.5" customHeight="1">
      <c r="C91" s="342" t="s">
        <v>83</v>
      </c>
      <c r="I91" s="491">
        <f>I92+I93</f>
        <v>119617870829</v>
      </c>
      <c r="J91" s="130"/>
      <c r="K91" s="491">
        <f>K92+K93</f>
        <v>120709716996</v>
      </c>
    </row>
    <row r="92" spans="3:11" s="33" customFormat="1" ht="16.5" customHeight="1">
      <c r="C92" s="342" t="s">
        <v>518</v>
      </c>
      <c r="I92" s="492">
        <f>92823896129</f>
        <v>92823896129</v>
      </c>
      <c r="J92" s="128"/>
      <c r="K92" s="492">
        <f>87785471107</f>
        <v>87785471107</v>
      </c>
    </row>
    <row r="93" spans="3:11" s="33" customFormat="1" ht="16.5" customHeight="1">
      <c r="C93" s="342" t="s">
        <v>519</v>
      </c>
      <c r="I93" s="492">
        <f>26793974700</f>
        <v>26793974700</v>
      </c>
      <c r="J93" s="128"/>
      <c r="K93" s="492">
        <f>32924245889</f>
        <v>32924245889</v>
      </c>
    </row>
    <row r="94" spans="1:11" s="33" customFormat="1" ht="16.5" customHeight="1">
      <c r="A94" s="60"/>
      <c r="B94" s="60"/>
      <c r="C94" s="342" t="s">
        <v>496</v>
      </c>
      <c r="I94" s="492">
        <f>150824120829-I92-I93-I95</f>
        <v>31106250000</v>
      </c>
      <c r="J94" s="166"/>
      <c r="K94" s="492">
        <v>5325334000</v>
      </c>
    </row>
    <row r="95" spans="1:11" s="33" customFormat="1" ht="16.5" customHeight="1">
      <c r="A95" s="60"/>
      <c r="B95" s="60"/>
      <c r="C95" s="342" t="s">
        <v>495</v>
      </c>
      <c r="I95" s="492">
        <v>100000000</v>
      </c>
      <c r="J95" s="71"/>
      <c r="K95" s="492">
        <f>100000000</f>
        <v>100000000</v>
      </c>
    </row>
    <row r="96" spans="3:11" ht="17.25" customHeight="1">
      <c r="C96" s="106"/>
      <c r="I96" s="114"/>
      <c r="K96" s="416"/>
    </row>
    <row r="97" spans="1:11" s="33" customFormat="1" ht="18" customHeight="1">
      <c r="A97" s="125" t="s">
        <v>251</v>
      </c>
      <c r="B97" s="60"/>
      <c r="C97" s="82" t="s">
        <v>209</v>
      </c>
      <c r="I97" s="421" t="s">
        <v>527</v>
      </c>
      <c r="J97" s="135"/>
      <c r="K97" s="488" t="s">
        <v>540</v>
      </c>
    </row>
    <row r="98" spans="1:11" s="33" customFormat="1" ht="18" customHeight="1">
      <c r="A98" s="125"/>
      <c r="B98" s="60"/>
      <c r="C98" s="82"/>
      <c r="I98" s="133" t="s">
        <v>246</v>
      </c>
      <c r="K98" s="422" t="s">
        <v>246</v>
      </c>
    </row>
    <row r="99" spans="1:11" s="33" customFormat="1" ht="18" customHeight="1">
      <c r="A99" s="42"/>
      <c r="B99" s="60"/>
      <c r="C99" s="335" t="s">
        <v>113</v>
      </c>
      <c r="E99" s="59"/>
      <c r="F99" s="59"/>
      <c r="G99" s="59"/>
      <c r="H99" s="59"/>
      <c r="I99" s="419">
        <f>11943004310</f>
        <v>11943004310</v>
      </c>
      <c r="J99" s="10"/>
      <c r="K99" s="419">
        <v>10737470978</v>
      </c>
    </row>
    <row r="100" spans="1:11" s="33" customFormat="1" ht="18" customHeight="1" hidden="1">
      <c r="A100" s="42"/>
      <c r="B100" s="60"/>
      <c r="C100" s="335" t="s">
        <v>114</v>
      </c>
      <c r="E100" s="59"/>
      <c r="F100" s="59"/>
      <c r="G100" s="59"/>
      <c r="H100" s="59"/>
      <c r="I100" s="419"/>
      <c r="J100" s="10"/>
      <c r="K100" s="419"/>
    </row>
    <row r="101" spans="1:11" s="33" customFormat="1" ht="18" customHeight="1" hidden="1">
      <c r="A101" s="42"/>
      <c r="B101" s="60"/>
      <c r="C101" s="335" t="s">
        <v>115</v>
      </c>
      <c r="E101" s="59"/>
      <c r="F101" s="59"/>
      <c r="G101" s="59"/>
      <c r="H101" s="59"/>
      <c r="I101" s="419"/>
      <c r="J101" s="10"/>
      <c r="K101" s="419"/>
    </row>
    <row r="102" spans="1:11" s="33" customFormat="1" ht="17.25" customHeight="1" hidden="1">
      <c r="A102" s="42"/>
      <c r="B102" s="60"/>
      <c r="C102" s="335" t="s">
        <v>116</v>
      </c>
      <c r="E102" s="59"/>
      <c r="F102" s="59"/>
      <c r="G102" s="39"/>
      <c r="H102" s="59"/>
      <c r="I102" s="419"/>
      <c r="J102" s="10"/>
      <c r="K102" s="419"/>
    </row>
    <row r="103" spans="1:11" s="33" customFormat="1" ht="18" customHeight="1">
      <c r="A103" s="42"/>
      <c r="B103" s="60"/>
      <c r="C103" s="335" t="s">
        <v>117</v>
      </c>
      <c r="E103" s="59"/>
      <c r="F103" s="59"/>
      <c r="G103" s="59"/>
      <c r="H103" s="59"/>
      <c r="I103" s="419">
        <f>2907030124</f>
        <v>2907030124</v>
      </c>
      <c r="J103" s="10"/>
      <c r="K103" s="419">
        <v>2382386823</v>
      </c>
    </row>
    <row r="104" spans="1:11" s="33" customFormat="1" ht="18" customHeight="1">
      <c r="A104" s="42"/>
      <c r="B104" s="60"/>
      <c r="C104" s="335" t="s">
        <v>118</v>
      </c>
      <c r="E104" s="59"/>
      <c r="F104" s="59"/>
      <c r="G104" s="59"/>
      <c r="H104" s="59"/>
      <c r="I104" s="419">
        <v>88923699</v>
      </c>
      <c r="J104" s="39"/>
      <c r="K104" s="419">
        <v>37222699</v>
      </c>
    </row>
    <row r="105" spans="1:11" s="33" customFormat="1" ht="18" customHeight="1" hidden="1">
      <c r="A105" s="42"/>
      <c r="B105" s="60"/>
      <c r="C105" s="335" t="s">
        <v>119</v>
      </c>
      <c r="E105" s="59"/>
      <c r="F105" s="59"/>
      <c r="G105" s="59"/>
      <c r="H105" s="59"/>
      <c r="I105" s="513"/>
      <c r="J105" s="10"/>
      <c r="K105" s="513">
        <f>E105+G105-I105</f>
        <v>0</v>
      </c>
    </row>
    <row r="106" spans="1:11" s="33" customFormat="1" ht="18" customHeight="1" hidden="1">
      <c r="A106" s="42"/>
      <c r="B106" s="60"/>
      <c r="C106" s="335" t="s">
        <v>120</v>
      </c>
      <c r="E106" s="132"/>
      <c r="F106" s="59"/>
      <c r="G106" s="59"/>
      <c r="H106" s="59"/>
      <c r="I106" s="513"/>
      <c r="J106" s="10"/>
      <c r="K106" s="513">
        <v>0</v>
      </c>
    </row>
    <row r="107" spans="1:11" s="33" customFormat="1" ht="18" customHeight="1">
      <c r="A107" s="42"/>
      <c r="B107" s="60"/>
      <c r="C107" s="335" t="s">
        <v>121</v>
      </c>
      <c r="E107" s="59"/>
      <c r="F107" s="59"/>
      <c r="G107" s="59"/>
      <c r="H107" s="59"/>
      <c r="I107" s="419">
        <v>0</v>
      </c>
      <c r="J107" s="39"/>
      <c r="K107" s="419">
        <f>44418550+48389500</f>
        <v>92808050</v>
      </c>
    </row>
    <row r="108" spans="1:11" s="33" customFormat="1" ht="3" customHeight="1">
      <c r="A108" s="42"/>
      <c r="B108" s="60"/>
      <c r="E108" s="59"/>
      <c r="F108" s="59"/>
      <c r="G108" s="59"/>
      <c r="H108" s="59"/>
      <c r="I108" s="10"/>
      <c r="J108" s="10"/>
      <c r="K108" s="513"/>
    </row>
    <row r="109" spans="1:11" s="33" customFormat="1" ht="18" customHeight="1" thickBot="1">
      <c r="A109" s="42"/>
      <c r="B109" s="60"/>
      <c r="C109" s="82" t="s">
        <v>508</v>
      </c>
      <c r="E109" s="132"/>
      <c r="F109" s="132"/>
      <c r="G109" s="132"/>
      <c r="H109" s="132"/>
      <c r="I109" s="143">
        <f>I99+I103+I104+I107</f>
        <v>14938958133</v>
      </c>
      <c r="K109" s="143">
        <f>K99+K103+K104+K107</f>
        <v>13249888550</v>
      </c>
    </row>
    <row r="110" spans="1:11" s="33" customFormat="1" ht="17.25" customHeight="1" thickTop="1">
      <c r="A110" s="42"/>
      <c r="B110" s="60"/>
      <c r="C110" s="82"/>
      <c r="E110" s="59"/>
      <c r="F110" s="59"/>
      <c r="G110" s="59"/>
      <c r="H110" s="59"/>
      <c r="I110" s="10"/>
      <c r="J110" s="10"/>
      <c r="K110" s="412"/>
    </row>
    <row r="111" spans="1:11" s="33" customFormat="1" ht="18" customHeight="1">
      <c r="A111" s="125" t="s">
        <v>252</v>
      </c>
      <c r="B111" s="60"/>
      <c r="C111" s="60" t="s">
        <v>443</v>
      </c>
      <c r="I111" s="421" t="s">
        <v>527</v>
      </c>
      <c r="J111" s="135"/>
      <c r="K111" s="488" t="s">
        <v>540</v>
      </c>
    </row>
    <row r="112" spans="1:11" s="33" customFormat="1" ht="14.25" customHeight="1">
      <c r="A112" s="125"/>
      <c r="B112" s="60"/>
      <c r="C112" s="60"/>
      <c r="I112" s="133" t="s">
        <v>246</v>
      </c>
      <c r="K112" s="422" t="s">
        <v>246</v>
      </c>
    </row>
    <row r="113" spans="1:11" s="33" customFormat="1" ht="3" customHeight="1">
      <c r="A113" s="60"/>
      <c r="B113" s="60"/>
      <c r="K113" s="191"/>
    </row>
    <row r="114" spans="1:11" s="33" customFormat="1" ht="21" customHeight="1">
      <c r="A114" s="60"/>
      <c r="B114" s="60"/>
      <c r="C114" s="335" t="s">
        <v>3</v>
      </c>
      <c r="I114" s="258">
        <v>7850098608</v>
      </c>
      <c r="J114" s="71"/>
      <c r="K114" s="258">
        <v>1816722772</v>
      </c>
    </row>
    <row r="115" spans="1:11" s="33" customFormat="1" ht="21" customHeight="1">
      <c r="A115" s="60"/>
      <c r="B115" s="60"/>
      <c r="C115" s="335" t="s">
        <v>504</v>
      </c>
      <c r="I115" s="258">
        <v>177666667</v>
      </c>
      <c r="J115" s="71"/>
      <c r="K115" s="258">
        <v>60666667</v>
      </c>
    </row>
    <row r="116" spans="1:11" s="33" customFormat="1" ht="21" customHeight="1">
      <c r="A116" s="60"/>
      <c r="B116" s="60"/>
      <c r="C116" s="335" t="s">
        <v>506</v>
      </c>
      <c r="I116" s="258">
        <f>1008205346-17203875</f>
        <v>991001471</v>
      </c>
      <c r="J116" s="71"/>
      <c r="K116" s="258">
        <v>285702544</v>
      </c>
    </row>
    <row r="117" spans="1:11" s="33" customFormat="1" ht="21" customHeight="1">
      <c r="A117" s="60"/>
      <c r="B117" s="60"/>
      <c r="C117" s="335" t="s">
        <v>4</v>
      </c>
      <c r="I117" s="258"/>
      <c r="J117" s="71"/>
      <c r="K117" s="258">
        <v>105000000</v>
      </c>
    </row>
    <row r="118" spans="1:11" s="33" customFormat="1" ht="3.75" customHeight="1">
      <c r="A118" s="60"/>
      <c r="B118" s="60"/>
      <c r="I118" s="129"/>
      <c r="J118" s="71"/>
      <c r="K118" s="514"/>
    </row>
    <row r="119" spans="1:11" s="33" customFormat="1" ht="18" customHeight="1" thickBot="1">
      <c r="A119" s="60"/>
      <c r="B119" s="60"/>
      <c r="C119" s="60" t="s">
        <v>229</v>
      </c>
      <c r="I119" s="131">
        <f>I114+I115+I116+I117</f>
        <v>9018766746</v>
      </c>
      <c r="K119" s="432">
        <f>K114+K115+K116+K117</f>
        <v>2268091983</v>
      </c>
    </row>
    <row r="120" spans="1:11" s="33" customFormat="1" ht="18" customHeight="1" thickTop="1">
      <c r="A120" s="60"/>
      <c r="B120" s="60"/>
      <c r="C120" s="60"/>
      <c r="I120" s="124"/>
      <c r="K120" s="416"/>
    </row>
    <row r="121" spans="1:11" s="33" customFormat="1" ht="18" customHeight="1">
      <c r="A121" s="125" t="s">
        <v>253</v>
      </c>
      <c r="B121" s="60"/>
      <c r="C121" s="336" t="s">
        <v>122</v>
      </c>
      <c r="I121" s="421" t="s">
        <v>527</v>
      </c>
      <c r="J121" s="135"/>
      <c r="K121" s="488" t="s">
        <v>540</v>
      </c>
    </row>
    <row r="122" spans="1:11" s="33" customFormat="1" ht="18" customHeight="1">
      <c r="A122" s="60"/>
      <c r="B122" s="60"/>
      <c r="I122" s="133" t="s">
        <v>246</v>
      </c>
      <c r="J122" s="71"/>
      <c r="K122" s="422" t="s">
        <v>246</v>
      </c>
    </row>
    <row r="123" spans="1:11" s="33" customFormat="1" ht="18" customHeight="1">
      <c r="A123" s="130"/>
      <c r="B123" s="130"/>
      <c r="C123" s="335" t="s">
        <v>123</v>
      </c>
      <c r="D123" s="22"/>
      <c r="E123" s="22"/>
      <c r="F123" s="181"/>
      <c r="G123" s="181"/>
      <c r="H123" s="128"/>
      <c r="I123" s="248">
        <v>329974545</v>
      </c>
      <c r="J123" s="46"/>
      <c r="K123" s="248">
        <v>213800545</v>
      </c>
    </row>
    <row r="124" spans="1:11" s="33" customFormat="1" ht="18" customHeight="1">
      <c r="A124" s="130"/>
      <c r="B124" s="130"/>
      <c r="C124" s="335" t="s">
        <v>124</v>
      </c>
      <c r="D124" s="22"/>
      <c r="E124" s="22"/>
      <c r="F124" s="181"/>
      <c r="G124" s="181"/>
      <c r="H124" s="128"/>
      <c r="I124" s="248">
        <v>1171031901</v>
      </c>
      <c r="J124" s="46"/>
      <c r="K124" s="248">
        <v>721545901</v>
      </c>
    </row>
    <row r="125" spans="1:11" s="33" customFormat="1" ht="18" customHeight="1">
      <c r="A125" s="130"/>
      <c r="B125" s="130"/>
      <c r="C125" s="335" t="s">
        <v>125</v>
      </c>
      <c r="D125" s="22"/>
      <c r="E125" s="22"/>
      <c r="F125" s="181"/>
      <c r="G125" s="181"/>
      <c r="H125" s="128"/>
      <c r="I125" s="248">
        <v>354194457</v>
      </c>
      <c r="J125" s="46"/>
      <c r="K125" s="248">
        <v>266326457</v>
      </c>
    </row>
    <row r="126" spans="1:11" s="33" customFormat="1" ht="18" customHeight="1">
      <c r="A126" s="130"/>
      <c r="B126" s="130"/>
      <c r="C126" s="335" t="s">
        <v>500</v>
      </c>
      <c r="D126" s="22"/>
      <c r="E126" s="22"/>
      <c r="F126" s="181"/>
      <c r="G126" s="181"/>
      <c r="H126" s="128"/>
      <c r="I126" s="248">
        <v>3320940</v>
      </c>
      <c r="J126" s="46"/>
      <c r="K126" s="248">
        <v>6077940</v>
      </c>
    </row>
    <row r="127" spans="1:11" s="33" customFormat="1" ht="18" customHeight="1">
      <c r="A127" s="130"/>
      <c r="B127" s="130"/>
      <c r="C127" s="335" t="s">
        <v>501</v>
      </c>
      <c r="D127" s="22"/>
      <c r="E127" s="22"/>
      <c r="F127" s="181"/>
      <c r="G127" s="181"/>
      <c r="H127" s="128"/>
      <c r="I127" s="248">
        <v>9744680</v>
      </c>
      <c r="J127" s="46"/>
      <c r="K127" s="248">
        <v>11456680</v>
      </c>
    </row>
    <row r="128" spans="1:11" s="33" customFormat="1" ht="18" customHeight="1">
      <c r="A128" s="130"/>
      <c r="B128" s="130"/>
      <c r="C128" s="335" t="s">
        <v>180</v>
      </c>
      <c r="D128" s="22"/>
      <c r="E128" s="22"/>
      <c r="F128" s="181"/>
      <c r="G128" s="181"/>
      <c r="H128" s="128"/>
      <c r="I128" s="248">
        <v>359032765</v>
      </c>
      <c r="J128" s="46"/>
      <c r="K128" s="248">
        <v>194270057</v>
      </c>
    </row>
    <row r="129" spans="1:11" s="33" customFormat="1" ht="18" customHeight="1">
      <c r="A129" s="60"/>
      <c r="B129" s="60"/>
      <c r="C129" s="335" t="s">
        <v>127</v>
      </c>
      <c r="I129" s="193">
        <f>122138734+96047857</f>
        <v>218186591</v>
      </c>
      <c r="K129" s="193">
        <f>96048307-450+81396734</f>
        <v>177444591</v>
      </c>
    </row>
    <row r="130" spans="1:11" s="33" customFormat="1" ht="18" customHeight="1" thickBot="1">
      <c r="A130" s="60"/>
      <c r="B130" s="60"/>
      <c r="C130" s="60" t="s">
        <v>229</v>
      </c>
      <c r="I130" s="131">
        <f>SUM(I123:I129)</f>
        <v>2445485879</v>
      </c>
      <c r="K130" s="423">
        <f>SUM(K123:K129)</f>
        <v>1590922171</v>
      </c>
    </row>
    <row r="131" spans="3:11" ht="15.75" customHeight="1" thickTop="1">
      <c r="C131" s="106"/>
      <c r="I131" s="114"/>
      <c r="K131" s="493"/>
    </row>
    <row r="132" spans="1:11" s="33" customFormat="1" ht="18" customHeight="1">
      <c r="A132" s="125" t="s">
        <v>254</v>
      </c>
      <c r="B132" s="60"/>
      <c r="C132" s="336" t="s">
        <v>128</v>
      </c>
      <c r="I132" s="421" t="s">
        <v>527</v>
      </c>
      <c r="J132" s="135"/>
      <c r="K132" s="488" t="s">
        <v>540</v>
      </c>
    </row>
    <row r="133" spans="1:11" s="33" customFormat="1" ht="18" customHeight="1">
      <c r="A133" s="60"/>
      <c r="B133" s="60"/>
      <c r="I133" s="133" t="s">
        <v>246</v>
      </c>
      <c r="J133" s="71"/>
      <c r="K133" s="422" t="s">
        <v>246</v>
      </c>
    </row>
    <row r="134" spans="1:11" s="33" customFormat="1" ht="18" customHeight="1">
      <c r="A134" s="60"/>
      <c r="B134" s="60"/>
      <c r="C134" s="335" t="s">
        <v>507</v>
      </c>
      <c r="I134" s="494">
        <f>+I135+I136</f>
        <v>174994000</v>
      </c>
      <c r="J134" s="71"/>
      <c r="K134" s="494">
        <f>+K135+K136</f>
        <v>174994000</v>
      </c>
    </row>
    <row r="135" spans="1:11" s="128" customFormat="1" ht="18" customHeight="1">
      <c r="A135" s="130"/>
      <c r="B135" s="130"/>
      <c r="C135" s="342" t="s">
        <v>502</v>
      </c>
      <c r="I135" s="264">
        <v>174994000</v>
      </c>
      <c r="J135" s="166"/>
      <c r="K135" s="264">
        <v>174994000</v>
      </c>
    </row>
    <row r="136" spans="1:11" s="128" customFormat="1" ht="18" customHeight="1">
      <c r="A136" s="130"/>
      <c r="B136" s="130"/>
      <c r="C136" s="342" t="s">
        <v>503</v>
      </c>
      <c r="I136" s="471">
        <v>0</v>
      </c>
      <c r="J136" s="166"/>
      <c r="K136" s="495">
        <v>0</v>
      </c>
    </row>
    <row r="137" spans="1:11" s="33" customFormat="1" ht="7.5" customHeight="1">
      <c r="A137" s="60"/>
      <c r="B137" s="60"/>
      <c r="I137" s="129"/>
      <c r="J137" s="71"/>
      <c r="K137" s="491"/>
    </row>
    <row r="138" spans="1:11" s="33" customFormat="1" ht="18" customHeight="1" thickBot="1">
      <c r="A138" s="60"/>
      <c r="B138" s="60"/>
      <c r="C138" s="60" t="s">
        <v>247</v>
      </c>
      <c r="I138" s="131">
        <f>I134</f>
        <v>174994000</v>
      </c>
      <c r="K138" s="423">
        <f>K134</f>
        <v>174994000</v>
      </c>
    </row>
    <row r="139" spans="3:11" ht="18" customHeight="1" thickTop="1">
      <c r="C139" s="106"/>
      <c r="I139" s="114"/>
      <c r="K139" s="416"/>
    </row>
    <row r="140" spans="1:11" s="33" customFormat="1" ht="18" customHeight="1">
      <c r="A140" s="150" t="s">
        <v>32</v>
      </c>
      <c r="B140" s="60"/>
      <c r="C140" s="184" t="s">
        <v>412</v>
      </c>
      <c r="E140" s="59"/>
      <c r="F140" s="59"/>
      <c r="G140" s="59"/>
      <c r="H140" s="59"/>
      <c r="I140" s="421" t="s">
        <v>527</v>
      </c>
      <c r="J140" s="135"/>
      <c r="K140" s="488" t="s">
        <v>540</v>
      </c>
    </row>
    <row r="141" spans="1:11" s="33" customFormat="1" ht="18" customHeight="1">
      <c r="A141" s="42"/>
      <c r="B141" s="60"/>
      <c r="E141" s="59"/>
      <c r="F141" s="59"/>
      <c r="G141" s="59"/>
      <c r="H141" s="59"/>
      <c r="I141" s="182" t="s">
        <v>246</v>
      </c>
      <c r="J141" s="132"/>
      <c r="K141" s="497" t="s">
        <v>246</v>
      </c>
    </row>
    <row r="142" spans="1:11" s="33" customFormat="1" ht="18" customHeight="1">
      <c r="A142" s="42"/>
      <c r="B142" s="60"/>
      <c r="C142" s="343" t="s">
        <v>130</v>
      </c>
      <c r="E142" s="59"/>
      <c r="F142" s="59"/>
      <c r="G142" s="59"/>
      <c r="H142" s="59"/>
      <c r="I142" s="39">
        <v>12210300000</v>
      </c>
      <c r="J142" s="39"/>
      <c r="K142" s="39">
        <v>12210300000</v>
      </c>
    </row>
    <row r="143" spans="1:11" s="33" customFormat="1" ht="18" customHeight="1">
      <c r="A143" s="42"/>
      <c r="B143" s="60"/>
      <c r="C143" s="343" t="s">
        <v>131</v>
      </c>
      <c r="E143" s="59"/>
      <c r="F143" s="59"/>
      <c r="G143" s="59"/>
      <c r="H143" s="59"/>
      <c r="I143" s="39">
        <v>2740000000</v>
      </c>
      <c r="J143" s="39"/>
      <c r="K143" s="39">
        <v>2740000000</v>
      </c>
    </row>
    <row r="144" spans="1:11" s="33" customFormat="1" ht="18" customHeight="1">
      <c r="A144" s="42"/>
      <c r="B144" s="60"/>
      <c r="C144" s="343" t="s">
        <v>133</v>
      </c>
      <c r="E144" s="59"/>
      <c r="F144" s="59"/>
      <c r="G144" s="59"/>
      <c r="H144" s="59"/>
      <c r="I144" s="414">
        <v>1420000000</v>
      </c>
      <c r="J144" s="39"/>
      <c r="K144" s="414">
        <v>1420000000</v>
      </c>
    </row>
    <row r="145" spans="1:11" s="33" customFormat="1" ht="18" customHeight="1">
      <c r="A145" s="42"/>
      <c r="B145" s="60"/>
      <c r="C145" s="343" t="s">
        <v>132</v>
      </c>
      <c r="E145" s="59"/>
      <c r="F145" s="59"/>
      <c r="G145" s="59"/>
      <c r="H145" s="59"/>
      <c r="I145" s="39">
        <v>1420000000</v>
      </c>
      <c r="J145" s="39"/>
      <c r="K145" s="39">
        <v>1420000000</v>
      </c>
    </row>
    <row r="146" spans="1:11" s="33" customFormat="1" ht="18" customHeight="1">
      <c r="A146" s="42"/>
      <c r="B146" s="60"/>
      <c r="C146" s="343" t="s">
        <v>134</v>
      </c>
      <c r="E146" s="59"/>
      <c r="F146" s="59"/>
      <c r="G146" s="59"/>
      <c r="H146" s="59"/>
      <c r="I146" s="39">
        <v>14709700000</v>
      </c>
      <c r="J146" s="39"/>
      <c r="K146" s="39">
        <v>14709700000</v>
      </c>
    </row>
    <row r="147" spans="1:11" s="33" customFormat="1" ht="4.5" customHeight="1">
      <c r="A147" s="42"/>
      <c r="B147" s="60"/>
      <c r="I147" s="10"/>
      <c r="J147" s="71"/>
      <c r="K147" s="488"/>
    </row>
    <row r="148" spans="1:11" s="33" customFormat="1" ht="18" customHeight="1" thickBot="1">
      <c r="A148" s="42"/>
      <c r="B148" s="60"/>
      <c r="C148" s="60" t="s">
        <v>229</v>
      </c>
      <c r="G148" s="127"/>
      <c r="I148" s="50">
        <f>SUM(I142:I146)</f>
        <v>32500000000</v>
      </c>
      <c r="K148" s="301">
        <f>SUM(K142:K146)</f>
        <v>32500000000</v>
      </c>
    </row>
    <row r="149" spans="1:11" ht="18" customHeight="1" thickTop="1">
      <c r="A149" s="107"/>
      <c r="I149" s="117"/>
      <c r="J149" s="108"/>
      <c r="K149" s="488"/>
    </row>
    <row r="150" spans="1:11" ht="18" customHeight="1">
      <c r="A150" s="150" t="s">
        <v>33</v>
      </c>
      <c r="C150" s="344" t="s">
        <v>535</v>
      </c>
      <c r="I150" s="421" t="s">
        <v>527</v>
      </c>
      <c r="J150" s="135"/>
      <c r="K150" s="488" t="s">
        <v>540</v>
      </c>
    </row>
    <row r="151" spans="1:11" ht="18" customHeight="1">
      <c r="A151" s="107"/>
      <c r="I151" s="182" t="s">
        <v>246</v>
      </c>
      <c r="J151" s="132"/>
      <c r="K151" s="497" t="s">
        <v>246</v>
      </c>
    </row>
    <row r="152" spans="1:11" ht="18" customHeight="1">
      <c r="A152" s="107"/>
      <c r="C152" s="344" t="s">
        <v>135</v>
      </c>
      <c r="I152" s="117"/>
      <c r="J152" s="108"/>
      <c r="K152" s="488"/>
    </row>
    <row r="153" spans="1:11" ht="18" customHeight="1">
      <c r="A153" s="107"/>
      <c r="C153" s="345" t="s">
        <v>136</v>
      </c>
      <c r="I153" s="346">
        <v>32500000000</v>
      </c>
      <c r="J153" s="346"/>
      <c r="K153" s="414">
        <f>I156</f>
        <v>32500000000</v>
      </c>
    </row>
    <row r="154" spans="1:11" ht="18" customHeight="1">
      <c r="A154" s="107"/>
      <c r="C154" s="345" t="s">
        <v>137</v>
      </c>
      <c r="I154" s="346"/>
      <c r="J154" s="346"/>
      <c r="K154" s="414">
        <v>0</v>
      </c>
    </row>
    <row r="155" spans="1:11" ht="18" customHeight="1">
      <c r="A155" s="107"/>
      <c r="C155" s="345" t="s">
        <v>138</v>
      </c>
      <c r="I155" s="346">
        <v>0</v>
      </c>
      <c r="J155" s="346"/>
      <c r="K155" s="414">
        <v>0</v>
      </c>
    </row>
    <row r="156" spans="1:11" ht="18" customHeight="1">
      <c r="A156" s="107"/>
      <c r="C156" s="345" t="s">
        <v>139</v>
      </c>
      <c r="I156" s="346">
        <v>32500000000</v>
      </c>
      <c r="J156" s="346"/>
      <c r="K156" s="414">
        <f>K153+K154-K155</f>
        <v>32500000000</v>
      </c>
    </row>
    <row r="157" spans="1:11" ht="18" customHeight="1">
      <c r="A157" s="107"/>
      <c r="C157" s="344" t="s">
        <v>60</v>
      </c>
      <c r="I157" s="513"/>
      <c r="J157" s="513"/>
      <c r="K157" s="412">
        <v>0</v>
      </c>
    </row>
    <row r="158" spans="1:11" ht="18" customHeight="1">
      <c r="A158" s="107"/>
      <c r="C158" s="344" t="s">
        <v>5</v>
      </c>
      <c r="I158" s="347"/>
      <c r="J158" s="347"/>
      <c r="K158" s="412"/>
    </row>
    <row r="159" spans="1:11" ht="12.75" customHeight="1">
      <c r="A159" s="107"/>
      <c r="I159" s="117"/>
      <c r="J159" s="108"/>
      <c r="K159" s="496"/>
    </row>
    <row r="160" spans="1:11" ht="18" customHeight="1">
      <c r="A160" s="150" t="s">
        <v>34</v>
      </c>
      <c r="C160" s="344" t="s">
        <v>140</v>
      </c>
      <c r="I160" s="421" t="s">
        <v>527</v>
      </c>
      <c r="J160" s="135"/>
      <c r="K160" s="488" t="s">
        <v>540</v>
      </c>
    </row>
    <row r="161" spans="1:11" ht="18" customHeight="1">
      <c r="A161" s="107"/>
      <c r="I161" s="182" t="s">
        <v>246</v>
      </c>
      <c r="J161" s="132"/>
      <c r="K161" s="497" t="s">
        <v>246</v>
      </c>
    </row>
    <row r="162" spans="1:12" ht="18" customHeight="1">
      <c r="A162" s="107"/>
      <c r="C162" s="345" t="s">
        <v>141</v>
      </c>
      <c r="I162" s="346">
        <v>3250000</v>
      </c>
      <c r="J162" s="346"/>
      <c r="K162" s="346">
        <v>3250000</v>
      </c>
      <c r="L162" s="105"/>
    </row>
    <row r="163" spans="1:12" ht="18" customHeight="1">
      <c r="A163" s="107"/>
      <c r="C163" s="348" t="s">
        <v>142</v>
      </c>
      <c r="I163" s="346">
        <v>3250000</v>
      </c>
      <c r="J163" s="346"/>
      <c r="K163" s="346">
        <v>3250000</v>
      </c>
      <c r="L163" s="105"/>
    </row>
    <row r="164" spans="1:12" ht="18" customHeight="1">
      <c r="A164" s="107"/>
      <c r="C164" s="349" t="s">
        <v>143</v>
      </c>
      <c r="I164" s="346">
        <v>3250000</v>
      </c>
      <c r="J164" s="346"/>
      <c r="K164" s="346">
        <v>3250000</v>
      </c>
      <c r="L164" s="105"/>
    </row>
    <row r="165" spans="1:12" ht="18" customHeight="1">
      <c r="A165" s="107"/>
      <c r="C165" s="349" t="s">
        <v>144</v>
      </c>
      <c r="I165" s="346">
        <v>0</v>
      </c>
      <c r="J165" s="346"/>
      <c r="K165" s="346">
        <v>0</v>
      </c>
      <c r="L165" s="105"/>
    </row>
    <row r="166" spans="1:12" ht="18" customHeight="1">
      <c r="A166" s="107"/>
      <c r="C166" s="348" t="s">
        <v>145</v>
      </c>
      <c r="I166" s="346">
        <v>0</v>
      </c>
      <c r="J166" s="346"/>
      <c r="K166" s="346">
        <v>0</v>
      </c>
      <c r="L166" s="105"/>
    </row>
    <row r="167" spans="1:12" ht="18" customHeight="1">
      <c r="A167" s="107"/>
      <c r="C167" s="349" t="s">
        <v>143</v>
      </c>
      <c r="I167" s="346">
        <v>0</v>
      </c>
      <c r="J167" s="346"/>
      <c r="K167" s="346">
        <v>0</v>
      </c>
      <c r="L167" s="105"/>
    </row>
    <row r="168" spans="1:12" ht="18" customHeight="1">
      <c r="A168" s="107"/>
      <c r="C168" s="349" t="s">
        <v>144</v>
      </c>
      <c r="I168" s="346">
        <v>0</v>
      </c>
      <c r="J168" s="346"/>
      <c r="K168" s="346">
        <v>0</v>
      </c>
      <c r="L168" s="105"/>
    </row>
    <row r="169" spans="1:12" ht="18" customHeight="1">
      <c r="A169" s="107"/>
      <c r="C169" s="348" t="s">
        <v>146</v>
      </c>
      <c r="I169" s="346">
        <v>3250000</v>
      </c>
      <c r="J169" s="346"/>
      <c r="K169" s="346">
        <v>3250000</v>
      </c>
      <c r="L169" s="105"/>
    </row>
    <row r="170" spans="1:12" ht="18" customHeight="1">
      <c r="A170" s="107"/>
      <c r="C170" s="349" t="s">
        <v>143</v>
      </c>
      <c r="I170" s="346">
        <v>3250000</v>
      </c>
      <c r="J170" s="346"/>
      <c r="K170" s="346">
        <v>3250000</v>
      </c>
      <c r="L170" s="105"/>
    </row>
    <row r="171" spans="1:12" ht="18" customHeight="1">
      <c r="A171" s="107"/>
      <c r="C171" s="349" t="s">
        <v>144</v>
      </c>
      <c r="I171" s="346">
        <v>0</v>
      </c>
      <c r="J171" s="346"/>
      <c r="K171" s="414">
        <v>0</v>
      </c>
      <c r="L171" s="105"/>
    </row>
    <row r="172" spans="1:11" ht="7.5" customHeight="1">
      <c r="A172" s="107"/>
      <c r="C172" s="350"/>
      <c r="I172" s="117"/>
      <c r="J172" s="108"/>
      <c r="K172" s="488"/>
    </row>
    <row r="173" spans="1:11" ht="18" customHeight="1">
      <c r="A173" s="107"/>
      <c r="C173" s="350" t="s">
        <v>147</v>
      </c>
      <c r="I173" s="117"/>
      <c r="J173" s="108"/>
      <c r="K173" s="488"/>
    </row>
    <row r="174" spans="1:11" ht="18" customHeight="1">
      <c r="A174" s="107"/>
      <c r="C174" s="350"/>
      <c r="I174" s="117"/>
      <c r="J174" s="108"/>
      <c r="K174" s="488"/>
    </row>
    <row r="175" spans="1:11" ht="18" customHeight="1">
      <c r="A175" s="107"/>
      <c r="C175" s="350"/>
      <c r="I175" s="117"/>
      <c r="J175" s="108"/>
      <c r="K175" s="496"/>
    </row>
    <row r="176" spans="1:11" s="33" customFormat="1" ht="6.75" customHeight="1">
      <c r="A176" s="42"/>
      <c r="B176" s="60"/>
      <c r="C176" s="60"/>
      <c r="I176" s="132"/>
      <c r="K176" s="498"/>
    </row>
    <row r="177" spans="1:13" s="85" customFormat="1" ht="18" customHeight="1">
      <c r="A177" s="3" t="s">
        <v>421</v>
      </c>
      <c r="B177" s="82"/>
      <c r="C177" s="98" t="s">
        <v>487</v>
      </c>
      <c r="J177" s="93"/>
      <c r="K177" s="485"/>
      <c r="L177" s="83"/>
      <c r="M177" s="83"/>
    </row>
    <row r="178" spans="1:13" s="85" customFormat="1" ht="18" customHeight="1">
      <c r="A178" s="3"/>
      <c r="B178" s="82"/>
      <c r="C178" s="98" t="s">
        <v>486</v>
      </c>
      <c r="J178" s="93"/>
      <c r="K178" s="485"/>
      <c r="L178" s="83"/>
      <c r="M178" s="83"/>
    </row>
    <row r="179" spans="1:11" s="33" customFormat="1" ht="7.5" customHeight="1">
      <c r="A179" s="60"/>
      <c r="B179" s="60"/>
      <c r="C179" s="60"/>
      <c r="I179" s="124"/>
      <c r="K179" s="493"/>
    </row>
    <row r="180" spans="1:11" s="33" customFormat="1" ht="19.5" customHeight="1">
      <c r="A180" s="125" t="s">
        <v>257</v>
      </c>
      <c r="B180" s="60"/>
      <c r="C180" s="60" t="s">
        <v>431</v>
      </c>
      <c r="I180" s="421" t="s">
        <v>527</v>
      </c>
      <c r="J180" s="135"/>
      <c r="K180" s="488" t="s">
        <v>540</v>
      </c>
    </row>
    <row r="181" spans="9:11" s="33" customFormat="1" ht="18" customHeight="1">
      <c r="I181" s="126" t="s">
        <v>246</v>
      </c>
      <c r="K181" s="433" t="s">
        <v>246</v>
      </c>
    </row>
    <row r="182" spans="3:11" s="33" customFormat="1" ht="18" customHeight="1">
      <c r="C182" s="335" t="s">
        <v>149</v>
      </c>
      <c r="D182" s="351"/>
      <c r="I182" s="248">
        <f>1555081804</f>
        <v>1555081804</v>
      </c>
      <c r="K182" s="248">
        <v>37491744204</v>
      </c>
    </row>
    <row r="183" spans="3:11" s="33" customFormat="1" ht="18" customHeight="1">
      <c r="C183" s="335" t="s">
        <v>150</v>
      </c>
      <c r="D183" s="351"/>
      <c r="I183" s="248">
        <v>0</v>
      </c>
      <c r="K183" s="248">
        <v>2511432727</v>
      </c>
    </row>
    <row r="184" spans="3:11" s="191" customFormat="1" ht="18" customHeight="1">
      <c r="C184" s="335" t="s">
        <v>151</v>
      </c>
      <c r="D184" s="351"/>
      <c r="I184" s="248">
        <v>0</v>
      </c>
      <c r="K184" s="248">
        <v>9223232727</v>
      </c>
    </row>
    <row r="185" spans="3:11" s="33" customFormat="1" ht="18" customHeight="1">
      <c r="C185" s="335" t="s">
        <v>6</v>
      </c>
      <c r="D185" s="351"/>
      <c r="I185" s="248">
        <v>0</v>
      </c>
      <c r="K185" s="248">
        <v>18600708575</v>
      </c>
    </row>
    <row r="186" spans="3:11" s="33" customFormat="1" ht="18" customHeight="1">
      <c r="C186" s="335" t="s">
        <v>78</v>
      </c>
      <c r="D186" s="351"/>
      <c r="I186" s="248">
        <v>0</v>
      </c>
      <c r="K186" s="248">
        <v>103290888</v>
      </c>
    </row>
    <row r="187" spans="3:11" s="33" customFormat="1" ht="18" customHeight="1">
      <c r="C187" s="335" t="s">
        <v>7</v>
      </c>
      <c r="D187" s="351"/>
      <c r="I187" s="248">
        <f>-1174550873</f>
        <v>-1174550873</v>
      </c>
      <c r="K187" s="248">
        <v>23893991838</v>
      </c>
    </row>
    <row r="188" spans="3:11" s="33" customFormat="1" ht="18" customHeight="1">
      <c r="C188" s="335" t="s">
        <v>8</v>
      </c>
      <c r="D188" s="351"/>
      <c r="I188" s="248">
        <f>7290914677</f>
        <v>7290914677</v>
      </c>
      <c r="K188" s="248">
        <v>8364424785</v>
      </c>
    </row>
    <row r="189" spans="3:11" s="33" customFormat="1" ht="18" customHeight="1">
      <c r="C189" s="335" t="s">
        <v>9</v>
      </c>
      <c r="D189" s="351"/>
      <c r="I189" s="248">
        <f>9150907203</f>
        <v>9150907203</v>
      </c>
      <c r="K189" s="248">
        <v>881146986</v>
      </c>
    </row>
    <row r="190" spans="3:11" s="33" customFormat="1" ht="18" customHeight="1">
      <c r="C190" s="335" t="s">
        <v>513</v>
      </c>
      <c r="D190" s="351"/>
      <c r="I190" s="248">
        <f>10336191297</f>
        <v>10336191297</v>
      </c>
      <c r="K190" s="248">
        <v>0</v>
      </c>
    </row>
    <row r="191" spans="3:11" s="33" customFormat="1" ht="18" customHeight="1">
      <c r="C191" s="335" t="s">
        <v>152</v>
      </c>
      <c r="D191" s="351"/>
      <c r="I191" s="248">
        <f>415454546</f>
        <v>415454546</v>
      </c>
      <c r="K191" s="248">
        <f>264327273</f>
        <v>264327273</v>
      </c>
    </row>
    <row r="192" spans="3:11" s="33" customFormat="1" ht="18" customHeight="1">
      <c r="C192" s="335" t="s">
        <v>153</v>
      </c>
      <c r="D192" s="351"/>
      <c r="I192" s="487">
        <f>596153838</f>
        <v>596153838</v>
      </c>
      <c r="K192" s="487">
        <f>13137967573-K191</f>
        <v>12873640300</v>
      </c>
    </row>
    <row r="193" spans="9:11" ht="7.5" customHeight="1">
      <c r="I193" s="110"/>
      <c r="J193" s="108"/>
      <c r="K193" s="490"/>
    </row>
    <row r="194" spans="1:11" s="33" customFormat="1" ht="18" customHeight="1" thickBot="1">
      <c r="A194" s="60"/>
      <c r="B194" s="60"/>
      <c r="C194" s="60" t="s">
        <v>229</v>
      </c>
      <c r="I194" s="131">
        <f>SUM(I182:I192)</f>
        <v>28170152492</v>
      </c>
      <c r="K194" s="423">
        <f>SUM(K182:K192)</f>
        <v>114207940303</v>
      </c>
    </row>
    <row r="195" ht="18" customHeight="1" thickTop="1"/>
    <row r="196" spans="1:11" ht="18" customHeight="1">
      <c r="A196" s="125" t="s">
        <v>258</v>
      </c>
      <c r="B196" s="60"/>
      <c r="C196" s="60" t="s">
        <v>255</v>
      </c>
      <c r="I196" s="421" t="s">
        <v>527</v>
      </c>
      <c r="J196" s="135"/>
      <c r="K196" s="488" t="s">
        <v>540</v>
      </c>
    </row>
    <row r="197" spans="9:11" s="33" customFormat="1" ht="18" customHeight="1">
      <c r="I197" s="126" t="s">
        <v>246</v>
      </c>
      <c r="K197" s="433" t="s">
        <v>246</v>
      </c>
    </row>
    <row r="198" spans="1:11" s="33" customFormat="1" ht="18" customHeight="1">
      <c r="A198" s="60"/>
      <c r="B198" s="60"/>
      <c r="C198" s="335" t="s">
        <v>154</v>
      </c>
      <c r="D198" s="352"/>
      <c r="I198" s="487">
        <f>1782874045</f>
        <v>1782874045</v>
      </c>
      <c r="K198" s="487">
        <v>41212511042</v>
      </c>
    </row>
    <row r="199" spans="1:11" s="33" customFormat="1" ht="18" customHeight="1">
      <c r="A199" s="60"/>
      <c r="B199" s="60"/>
      <c r="C199" s="335" t="s">
        <v>155</v>
      </c>
      <c r="D199" s="352"/>
      <c r="I199" s="487">
        <f>122599152</f>
        <v>122599152</v>
      </c>
      <c r="K199" s="487">
        <v>3630427546</v>
      </c>
    </row>
    <row r="200" spans="1:11" s="190" customFormat="1" ht="18" customHeight="1">
      <c r="A200" s="60"/>
      <c r="B200" s="60"/>
      <c r="C200" s="335" t="s">
        <v>156</v>
      </c>
      <c r="D200" s="352"/>
      <c r="E200" s="33"/>
      <c r="F200" s="33"/>
      <c r="G200" s="33"/>
      <c r="H200" s="33"/>
      <c r="I200" s="487">
        <v>0</v>
      </c>
      <c r="J200" s="33"/>
      <c r="K200" s="487">
        <v>12443799198</v>
      </c>
    </row>
    <row r="201" spans="1:11" s="33" customFormat="1" ht="18" customHeight="1">
      <c r="A201" s="60"/>
      <c r="B201" s="60"/>
      <c r="C201" s="335" t="s">
        <v>10</v>
      </c>
      <c r="D201" s="353"/>
      <c r="I201" s="487">
        <v>0</v>
      </c>
      <c r="K201" s="487">
        <v>12895237831</v>
      </c>
    </row>
    <row r="202" spans="1:11" s="33" customFormat="1" ht="18" customHeight="1">
      <c r="A202" s="60"/>
      <c r="B202" s="60"/>
      <c r="C202" s="335" t="s">
        <v>79</v>
      </c>
      <c r="D202" s="353"/>
      <c r="I202" s="487">
        <v>0</v>
      </c>
      <c r="K202" s="487">
        <v>29110927</v>
      </c>
    </row>
    <row r="203" spans="1:11" s="33" customFormat="1" ht="18" customHeight="1">
      <c r="A203" s="60"/>
      <c r="B203" s="60"/>
      <c r="C203" s="335" t="s">
        <v>11</v>
      </c>
      <c r="D203" s="353"/>
      <c r="I203" s="248">
        <f>-2311551214</f>
        <v>-2311551214</v>
      </c>
      <c r="K203" s="487">
        <v>17650106727</v>
      </c>
    </row>
    <row r="204" spans="1:11" s="33" customFormat="1" ht="18" customHeight="1">
      <c r="A204" s="60"/>
      <c r="B204" s="60"/>
      <c r="C204" s="335" t="s">
        <v>12</v>
      </c>
      <c r="D204" s="353"/>
      <c r="I204" s="487">
        <f>9680657232</f>
        <v>9680657232</v>
      </c>
      <c r="K204" s="487">
        <v>6151569866</v>
      </c>
    </row>
    <row r="205" spans="1:11" s="33" customFormat="1" ht="18" customHeight="1">
      <c r="A205" s="60"/>
      <c r="B205" s="60"/>
      <c r="C205" s="335" t="s">
        <v>13</v>
      </c>
      <c r="D205" s="353"/>
      <c r="I205" s="487">
        <f>7898046162</f>
        <v>7898046162</v>
      </c>
      <c r="K205" s="487">
        <v>537444002</v>
      </c>
    </row>
    <row r="206" spans="1:11" s="33" customFormat="1" ht="18" customHeight="1">
      <c r="A206" s="60"/>
      <c r="B206" s="60"/>
      <c r="C206" s="335" t="s">
        <v>514</v>
      </c>
      <c r="D206" s="353"/>
      <c r="I206" s="248">
        <f>5122153493</f>
        <v>5122153493</v>
      </c>
      <c r="K206" s="551">
        <v>0</v>
      </c>
    </row>
    <row r="207" spans="1:11" s="33" customFormat="1" ht="18" customHeight="1">
      <c r="A207" s="60"/>
      <c r="B207" s="60"/>
      <c r="C207" s="335" t="s">
        <v>157</v>
      </c>
      <c r="D207" s="352"/>
      <c r="I207" s="487">
        <f>168880546</f>
        <v>168880546</v>
      </c>
      <c r="K207" s="487">
        <v>104286793</v>
      </c>
    </row>
    <row r="208" spans="1:11" s="33" customFormat="1" ht="18" customHeight="1">
      <c r="A208" s="60"/>
      <c r="B208" s="60"/>
      <c r="C208" s="335" t="s">
        <v>158</v>
      </c>
      <c r="D208" s="353"/>
      <c r="I208" s="487">
        <f>869754793</f>
        <v>869754793</v>
      </c>
      <c r="K208" s="487">
        <v>12028893487</v>
      </c>
    </row>
    <row r="209" spans="1:11" s="33" customFormat="1" ht="18" customHeight="1" hidden="1">
      <c r="A209" s="60"/>
      <c r="B209" s="60"/>
      <c r="C209" s="33" t="s">
        <v>430</v>
      </c>
      <c r="I209" s="127">
        <v>0</v>
      </c>
      <c r="K209" s="487"/>
    </row>
    <row r="210" spans="9:11" ht="7.5" customHeight="1">
      <c r="I210" s="113"/>
      <c r="K210" s="192"/>
    </row>
    <row r="211" spans="1:11" s="33" customFormat="1" ht="18" customHeight="1" thickBot="1">
      <c r="A211" s="60"/>
      <c r="B211" s="60"/>
      <c r="C211" s="60" t="s">
        <v>229</v>
      </c>
      <c r="I211" s="143">
        <f>SUM(I198:I209)</f>
        <v>23333414209</v>
      </c>
      <c r="J211" s="104"/>
      <c r="K211" s="432">
        <f>SUM(K198:K209)</f>
        <v>106683387419</v>
      </c>
    </row>
    <row r="212" spans="1:11" s="33" customFormat="1" ht="18" customHeight="1" thickTop="1">
      <c r="A212" s="60"/>
      <c r="B212" s="60"/>
      <c r="C212" s="60"/>
      <c r="E212" s="124"/>
      <c r="F212" s="124"/>
      <c r="G212" s="124"/>
      <c r="I212" s="124"/>
      <c r="K212" s="493"/>
    </row>
    <row r="213" spans="1:11" ht="18" customHeight="1">
      <c r="A213" s="125" t="s">
        <v>385</v>
      </c>
      <c r="B213" s="60"/>
      <c r="C213" s="60" t="s">
        <v>259</v>
      </c>
      <c r="I213" s="421" t="s">
        <v>527</v>
      </c>
      <c r="J213" s="135"/>
      <c r="K213" s="488" t="s">
        <v>540</v>
      </c>
    </row>
    <row r="214" spans="9:11" s="33" customFormat="1" ht="18" customHeight="1">
      <c r="I214" s="126" t="s">
        <v>246</v>
      </c>
      <c r="K214" s="433" t="s">
        <v>246</v>
      </c>
    </row>
    <row r="215" spans="1:11" s="33" customFormat="1" ht="18" customHeight="1">
      <c r="A215" s="130"/>
      <c r="B215" s="130"/>
      <c r="C215" s="348" t="s">
        <v>61</v>
      </c>
      <c r="F215" s="149"/>
      <c r="H215" s="128"/>
      <c r="I215" s="487">
        <f>728557325</f>
        <v>728557325</v>
      </c>
      <c r="J215" s="46"/>
      <c r="K215" s="487">
        <f>1279776871-K217</f>
        <v>1146276871</v>
      </c>
    </row>
    <row r="216" spans="1:11" s="33" customFormat="1" ht="18" customHeight="1">
      <c r="A216" s="130"/>
      <c r="B216" s="130"/>
      <c r="C216" s="348" t="s">
        <v>159</v>
      </c>
      <c r="F216" s="149"/>
      <c r="H216" s="128"/>
      <c r="I216" s="275"/>
      <c r="J216" s="46"/>
      <c r="K216" s="275">
        <v>0</v>
      </c>
    </row>
    <row r="217" spans="1:11" s="33" customFormat="1" ht="18" customHeight="1">
      <c r="A217" s="130"/>
      <c r="B217" s="130"/>
      <c r="C217" s="348" t="s">
        <v>62</v>
      </c>
      <c r="F217" s="149"/>
      <c r="H217" s="128"/>
      <c r="I217" s="248"/>
      <c r="J217" s="46"/>
      <c r="K217" s="248">
        <f>133500000</f>
        <v>133500000</v>
      </c>
    </row>
    <row r="218" spans="1:11" s="33" customFormat="1" ht="7.5" customHeight="1">
      <c r="A218" s="60"/>
      <c r="B218" s="60"/>
      <c r="I218" s="129"/>
      <c r="J218" s="71"/>
      <c r="K218" s="491"/>
    </row>
    <row r="219" spans="1:11" s="33" customFormat="1" ht="18" customHeight="1" thickBot="1">
      <c r="A219" s="60"/>
      <c r="B219" s="60"/>
      <c r="C219" s="60" t="s">
        <v>229</v>
      </c>
      <c r="I219" s="131">
        <f>SUM(I215:I217)</f>
        <v>728557325</v>
      </c>
      <c r="K219" s="423">
        <f>SUM(K215:K218)</f>
        <v>1279776871</v>
      </c>
    </row>
    <row r="220" spans="1:11" s="33" customFormat="1" ht="18" customHeight="1" thickTop="1">
      <c r="A220" s="60"/>
      <c r="B220" s="60"/>
      <c r="K220" s="499"/>
    </row>
    <row r="221" spans="1:11" s="33" customFormat="1" ht="18" customHeight="1">
      <c r="A221" s="125" t="s">
        <v>39</v>
      </c>
      <c r="B221" s="60"/>
      <c r="C221" s="60" t="s">
        <v>244</v>
      </c>
      <c r="I221" s="421" t="s">
        <v>527</v>
      </c>
      <c r="J221" s="135"/>
      <c r="K221" s="488" t="s">
        <v>540</v>
      </c>
    </row>
    <row r="222" spans="9:11" s="33" customFormat="1" ht="18" customHeight="1">
      <c r="I222" s="126" t="s">
        <v>246</v>
      </c>
      <c r="K222" s="433" t="s">
        <v>246</v>
      </c>
    </row>
    <row r="223" spans="1:11" s="33" customFormat="1" ht="18" customHeight="1">
      <c r="A223" s="130"/>
      <c r="B223" s="130"/>
      <c r="C223" s="348" t="s">
        <v>201</v>
      </c>
      <c r="H223" s="128"/>
      <c r="I223" s="414">
        <v>0</v>
      </c>
      <c r="J223" s="46"/>
      <c r="K223" s="414">
        <v>872783026</v>
      </c>
    </row>
    <row r="224" spans="1:11" s="33" customFormat="1" ht="18" customHeight="1">
      <c r="A224" s="130"/>
      <c r="B224" s="130"/>
      <c r="C224" s="348" t="s">
        <v>511</v>
      </c>
      <c r="H224" s="128"/>
      <c r="I224" s="414">
        <v>0</v>
      </c>
      <c r="J224" s="46"/>
      <c r="K224" s="414">
        <v>155630000</v>
      </c>
    </row>
    <row r="225" spans="1:11" s="33" customFormat="1" ht="6" customHeight="1">
      <c r="A225" s="60"/>
      <c r="B225" s="60"/>
      <c r="I225" s="129"/>
      <c r="J225" s="71"/>
      <c r="K225" s="491"/>
    </row>
    <row r="226" spans="1:11" s="33" customFormat="1" ht="18" customHeight="1" thickBot="1">
      <c r="A226" s="60"/>
      <c r="B226" s="60"/>
      <c r="C226" s="60" t="s">
        <v>229</v>
      </c>
      <c r="I226" s="183">
        <f>SUM(I223:I224)</f>
        <v>0</v>
      </c>
      <c r="K226" s="500">
        <f>SUM(K223:K224)</f>
        <v>1028413026</v>
      </c>
    </row>
    <row r="227" spans="1:11" s="33" customFormat="1" ht="18" customHeight="1" thickTop="1">
      <c r="A227" s="60"/>
      <c r="B227" s="60"/>
      <c r="C227" s="60"/>
      <c r="I227" s="354"/>
      <c r="K227" s="501"/>
    </row>
    <row r="228" spans="1:11" s="417" customFormat="1" ht="18" customHeight="1">
      <c r="A228" s="424" t="s">
        <v>40</v>
      </c>
      <c r="B228" s="425"/>
      <c r="C228" s="426" t="s">
        <v>182</v>
      </c>
      <c r="I228" s="421" t="s">
        <v>527</v>
      </c>
      <c r="J228" s="135"/>
      <c r="K228" s="488" t="s">
        <v>540</v>
      </c>
    </row>
    <row r="229" spans="1:11" s="417" customFormat="1" ht="18" customHeight="1">
      <c r="A229" s="425"/>
      <c r="B229" s="425"/>
      <c r="C229" s="425"/>
      <c r="I229" s="418" t="s">
        <v>246</v>
      </c>
      <c r="K229" s="422" t="s">
        <v>246</v>
      </c>
    </row>
    <row r="230" spans="3:11" s="417" customFormat="1" ht="18" customHeight="1">
      <c r="C230" s="364" t="s">
        <v>183</v>
      </c>
      <c r="I230" s="248">
        <f>1548052200</f>
        <v>1548052200</v>
      </c>
      <c r="J230" s="430"/>
      <c r="K230" s="248">
        <v>2663262746</v>
      </c>
    </row>
    <row r="231" spans="1:11" s="417" customFormat="1" ht="18" customHeight="1">
      <c r="A231" s="425"/>
      <c r="B231" s="425"/>
      <c r="C231" s="364" t="s">
        <v>184</v>
      </c>
      <c r="I231" s="248">
        <f>119447684</f>
        <v>119447684</v>
      </c>
      <c r="J231" s="427"/>
      <c r="K231" s="248">
        <v>257662345</v>
      </c>
    </row>
    <row r="232" spans="1:11" s="417" customFormat="1" ht="18" customHeight="1">
      <c r="A232" s="425"/>
      <c r="B232" s="425"/>
      <c r="C232" s="364" t="s">
        <v>185</v>
      </c>
      <c r="I232" s="248">
        <v>0</v>
      </c>
      <c r="J232" s="427"/>
      <c r="K232" s="248">
        <v>0</v>
      </c>
    </row>
    <row r="233" spans="1:11" s="417" customFormat="1" ht="18" customHeight="1">
      <c r="A233" s="425"/>
      <c r="B233" s="425"/>
      <c r="C233" s="364" t="s">
        <v>186</v>
      </c>
      <c r="I233" s="248">
        <f>71222868</f>
        <v>71222868</v>
      </c>
      <c r="J233" s="427"/>
      <c r="K233" s="248">
        <v>140647957</v>
      </c>
    </row>
    <row r="234" spans="1:11" s="417" customFormat="1" ht="18" customHeight="1">
      <c r="A234" s="425"/>
      <c r="B234" s="425"/>
      <c r="C234" s="364" t="s">
        <v>77</v>
      </c>
      <c r="I234" s="248">
        <v>0</v>
      </c>
      <c r="J234" s="427"/>
      <c r="K234" s="248">
        <v>31486497</v>
      </c>
    </row>
    <row r="235" spans="1:11" s="417" customFormat="1" ht="18" customHeight="1">
      <c r="A235" s="425"/>
      <c r="B235" s="425"/>
      <c r="C235" s="364" t="s">
        <v>187</v>
      </c>
      <c r="I235" s="248">
        <f>142893948</f>
        <v>142893948</v>
      </c>
      <c r="J235" s="427"/>
      <c r="K235" s="248">
        <v>345131997</v>
      </c>
    </row>
    <row r="236" spans="1:11" s="417" customFormat="1" ht="18" customHeight="1">
      <c r="A236" s="425"/>
      <c r="B236" s="425"/>
      <c r="C236" s="364" t="s">
        <v>188</v>
      </c>
      <c r="I236" s="248">
        <f>613437621</f>
        <v>613437621</v>
      </c>
      <c r="J236" s="427"/>
      <c r="K236" s="248">
        <v>1553482931</v>
      </c>
    </row>
    <row r="237" spans="1:11" s="417" customFormat="1" ht="18" customHeight="1">
      <c r="A237" s="425"/>
      <c r="B237" s="425"/>
      <c r="C237" s="364" t="s">
        <v>189</v>
      </c>
      <c r="I237" s="248">
        <f>219845761</f>
        <v>219845761</v>
      </c>
      <c r="J237" s="427"/>
      <c r="K237" s="248">
        <v>279443389</v>
      </c>
    </row>
    <row r="238" spans="1:11" s="417" customFormat="1" ht="7.5" customHeight="1">
      <c r="A238" s="425"/>
      <c r="B238" s="425"/>
      <c r="I238" s="431"/>
      <c r="J238" s="427"/>
      <c r="K238" s="491"/>
    </row>
    <row r="239" spans="1:11" s="417" customFormat="1" ht="18" customHeight="1" thickBot="1">
      <c r="A239" s="425"/>
      <c r="B239" s="425"/>
      <c r="C239" s="425" t="s">
        <v>229</v>
      </c>
      <c r="I239" s="432">
        <f>SUM(I230:I237)</f>
        <v>2714900082</v>
      </c>
      <c r="K239" s="432">
        <f>SUM(K230:K237)</f>
        <v>5271117862</v>
      </c>
    </row>
    <row r="240" spans="1:11" s="33" customFormat="1" ht="18" customHeight="1" thickTop="1">
      <c r="A240" s="60"/>
      <c r="B240" s="60"/>
      <c r="C240" s="60"/>
      <c r="I240" s="354"/>
      <c r="K240" s="501"/>
    </row>
    <row r="241" spans="1:11" s="191" customFormat="1" ht="18" customHeight="1">
      <c r="A241" s="415" t="s">
        <v>42</v>
      </c>
      <c r="B241" s="385"/>
      <c r="C241" s="385" t="s">
        <v>220</v>
      </c>
      <c r="I241" s="421" t="s">
        <v>527</v>
      </c>
      <c r="J241" s="135"/>
      <c r="K241" s="488" t="s">
        <v>540</v>
      </c>
    </row>
    <row r="242" spans="1:11" s="191" customFormat="1" ht="18" customHeight="1">
      <c r="A242" s="385"/>
      <c r="B242" s="385"/>
      <c r="I242" s="433" t="s">
        <v>246</v>
      </c>
      <c r="K242" s="433" t="s">
        <v>246</v>
      </c>
    </row>
    <row r="243" spans="1:11" s="191" customFormat="1" ht="18" customHeight="1">
      <c r="A243" s="390"/>
      <c r="B243" s="390"/>
      <c r="C243" s="364" t="s">
        <v>488</v>
      </c>
      <c r="H243" s="403"/>
      <c r="I243" s="248">
        <f>529070546</f>
        <v>529070546</v>
      </c>
      <c r="J243" s="267"/>
      <c r="K243" s="248">
        <v>995720362</v>
      </c>
    </row>
    <row r="244" spans="1:11" s="191" customFormat="1" ht="18" customHeight="1">
      <c r="A244" s="390"/>
      <c r="B244" s="390"/>
      <c r="C244" s="364" t="s">
        <v>190</v>
      </c>
      <c r="H244" s="403"/>
      <c r="I244" s="434">
        <v>0</v>
      </c>
      <c r="J244" s="267"/>
      <c r="K244" s="434">
        <v>0</v>
      </c>
    </row>
    <row r="245" spans="1:11" s="191" customFormat="1" ht="18" customHeight="1">
      <c r="A245" s="390"/>
      <c r="B245" s="390"/>
      <c r="C245" s="364" t="s">
        <v>191</v>
      </c>
      <c r="H245" s="403"/>
      <c r="I245" s="434">
        <v>0</v>
      </c>
      <c r="J245" s="267"/>
      <c r="K245" s="434">
        <v>0</v>
      </c>
    </row>
    <row r="246" spans="1:11" s="191" customFormat="1" ht="18" customHeight="1">
      <c r="A246" s="390"/>
      <c r="B246" s="390"/>
      <c r="C246" s="364" t="s">
        <v>192</v>
      </c>
      <c r="H246" s="403"/>
      <c r="I246" s="434">
        <v>0</v>
      </c>
      <c r="J246" s="267"/>
      <c r="K246" s="434"/>
    </row>
    <row r="247" spans="1:11" s="191" customFormat="1" ht="7.5" customHeight="1">
      <c r="A247" s="385"/>
      <c r="B247" s="385"/>
      <c r="I247" s="434"/>
      <c r="J247" s="95"/>
      <c r="K247" s="491"/>
    </row>
    <row r="248" spans="1:11" s="191" customFormat="1" ht="18" customHeight="1" thickBot="1">
      <c r="A248" s="385"/>
      <c r="B248" s="385"/>
      <c r="C248" s="385" t="s">
        <v>229</v>
      </c>
      <c r="I248" s="423">
        <f>SUM(I243:I246)</f>
        <v>529070546</v>
      </c>
      <c r="K248" s="423">
        <f>SUM(K243:K246)</f>
        <v>995720362</v>
      </c>
    </row>
    <row r="249" s="191" customFormat="1" ht="18" customHeight="1" thickTop="1">
      <c r="K249" s="428"/>
    </row>
    <row r="250" spans="1:11" s="191" customFormat="1" ht="18" customHeight="1">
      <c r="A250" s="415" t="s">
        <v>43</v>
      </c>
      <c r="B250" s="385"/>
      <c r="C250" s="385" t="s">
        <v>221</v>
      </c>
      <c r="I250" s="421" t="s">
        <v>527</v>
      </c>
      <c r="J250" s="135"/>
      <c r="K250" s="488" t="s">
        <v>540</v>
      </c>
    </row>
    <row r="251" spans="1:11" s="191" customFormat="1" ht="18" customHeight="1">
      <c r="A251" s="385"/>
      <c r="B251" s="385"/>
      <c r="I251" s="433" t="s">
        <v>246</v>
      </c>
      <c r="K251" s="433" t="s">
        <v>246</v>
      </c>
    </row>
    <row r="252" spans="1:11" s="191" customFormat="1" ht="18" customHeight="1">
      <c r="A252" s="385"/>
      <c r="B252" s="385"/>
      <c r="C252" s="364" t="s">
        <v>193</v>
      </c>
      <c r="D252" s="345"/>
      <c r="I252" s="84">
        <f>157733382</f>
        <v>157733382</v>
      </c>
      <c r="J252" s="243"/>
      <c r="K252" s="84">
        <v>664679740</v>
      </c>
    </row>
    <row r="253" spans="1:11" s="191" customFormat="1" ht="18" customHeight="1">
      <c r="A253" s="385"/>
      <c r="B253" s="385"/>
      <c r="C253" s="364" t="s">
        <v>194</v>
      </c>
      <c r="D253" s="345"/>
      <c r="I253" s="84"/>
      <c r="J253" s="243"/>
      <c r="K253" s="84">
        <v>0</v>
      </c>
    </row>
    <row r="254" spans="1:11" s="191" customFormat="1" ht="18" customHeight="1">
      <c r="A254" s="385"/>
      <c r="B254" s="385"/>
      <c r="C254" s="364" t="s">
        <v>195</v>
      </c>
      <c r="D254" s="345"/>
      <c r="I254" s="84"/>
      <c r="J254" s="243"/>
      <c r="K254" s="84">
        <v>0</v>
      </c>
    </row>
    <row r="255" spans="1:11" s="191" customFormat="1" ht="6.75" customHeight="1">
      <c r="A255" s="385"/>
      <c r="B255" s="385"/>
      <c r="I255" s="434"/>
      <c r="J255" s="95"/>
      <c r="K255" s="491"/>
    </row>
    <row r="256" spans="1:11" s="191" customFormat="1" ht="18" customHeight="1" thickBot="1">
      <c r="A256" s="385"/>
      <c r="B256" s="385"/>
      <c r="C256" s="385" t="s">
        <v>229</v>
      </c>
      <c r="I256" s="423">
        <f>SUM(I252:I254)</f>
        <v>157733382</v>
      </c>
      <c r="K256" s="423">
        <f>K252+K253+K254</f>
        <v>664679740</v>
      </c>
    </row>
    <row r="257" spans="1:11" s="191" customFormat="1" ht="18" customHeight="1" thickTop="1">
      <c r="A257" s="385"/>
      <c r="B257" s="385"/>
      <c r="C257" s="385"/>
      <c r="I257" s="416"/>
      <c r="K257" s="416"/>
    </row>
    <row r="258" spans="1:11" s="33" customFormat="1" ht="18" customHeight="1">
      <c r="A258" s="125" t="s">
        <v>46</v>
      </c>
      <c r="B258" s="60"/>
      <c r="C258" s="60" t="s">
        <v>497</v>
      </c>
      <c r="I258" s="421" t="s">
        <v>527</v>
      </c>
      <c r="J258" s="135"/>
      <c r="K258" s="488" t="s">
        <v>540</v>
      </c>
    </row>
    <row r="259" spans="1:11" s="33" customFormat="1" ht="18" customHeight="1">
      <c r="A259" s="60"/>
      <c r="B259" s="60"/>
      <c r="C259" s="60"/>
      <c r="I259" s="126" t="s">
        <v>246</v>
      </c>
      <c r="K259" s="433" t="s">
        <v>246</v>
      </c>
    </row>
    <row r="260" spans="1:19" s="33" customFormat="1" ht="18" customHeight="1">
      <c r="A260" s="60"/>
      <c r="B260" s="60"/>
      <c r="C260" s="628" t="s">
        <v>63</v>
      </c>
      <c r="D260" s="628"/>
      <c r="E260" s="628"/>
      <c r="F260" s="628"/>
      <c r="G260" s="628"/>
      <c r="H260" s="355"/>
      <c r="I260" s="84">
        <v>3221752691</v>
      </c>
      <c r="J260" s="356"/>
      <c r="K260" s="84">
        <v>2835839487</v>
      </c>
      <c r="L260" s="355"/>
      <c r="M260" s="355"/>
      <c r="N260" s="355"/>
      <c r="O260" s="355"/>
      <c r="P260" s="355"/>
      <c r="Q260" s="355"/>
      <c r="R260" s="355"/>
      <c r="S260" s="355"/>
    </row>
    <row r="261" spans="1:19" s="33" customFormat="1" ht="18" customHeight="1">
      <c r="A261" s="60"/>
      <c r="B261" s="60"/>
      <c r="C261" s="630" t="s">
        <v>64</v>
      </c>
      <c r="D261" s="630"/>
      <c r="E261" s="630"/>
      <c r="F261" s="538"/>
      <c r="G261" s="538"/>
      <c r="H261" s="355"/>
      <c r="I261" s="84"/>
      <c r="J261" s="356"/>
      <c r="K261" s="84"/>
      <c r="L261" s="355"/>
      <c r="M261" s="355"/>
      <c r="N261" s="355"/>
      <c r="O261" s="355"/>
      <c r="P261" s="355"/>
      <c r="Q261" s="355"/>
      <c r="R261" s="355"/>
      <c r="S261" s="355"/>
    </row>
    <row r="262" spans="1:19" s="33" customFormat="1" ht="18" customHeight="1">
      <c r="A262" s="60"/>
      <c r="B262" s="60"/>
      <c r="C262" s="628" t="s">
        <v>65</v>
      </c>
      <c r="D262" s="628"/>
      <c r="E262" s="628"/>
      <c r="F262" s="628"/>
      <c r="G262" s="628"/>
      <c r="H262" s="355"/>
      <c r="I262" s="84">
        <f>I260</f>
        <v>3221752691</v>
      </c>
      <c r="J262" s="356"/>
      <c r="K262" s="84">
        <v>2835839487</v>
      </c>
      <c r="L262" s="355"/>
      <c r="M262" s="355"/>
      <c r="N262" s="355"/>
      <c r="O262" s="355"/>
      <c r="P262" s="355"/>
      <c r="Q262" s="355"/>
      <c r="R262" s="355"/>
      <c r="S262" s="355"/>
    </row>
    <row r="263" spans="1:19" s="33" customFormat="1" ht="18" customHeight="1">
      <c r="A263" s="60"/>
      <c r="B263" s="60"/>
      <c r="C263" s="628" t="s">
        <v>66</v>
      </c>
      <c r="D263" s="628"/>
      <c r="E263" s="628"/>
      <c r="F263" s="628"/>
      <c r="G263" s="628"/>
      <c r="H263" s="355"/>
      <c r="I263" s="84">
        <v>524643301.1963937</v>
      </c>
      <c r="J263" s="356"/>
      <c r="K263" s="84">
        <v>443708195</v>
      </c>
      <c r="L263" s="355"/>
      <c r="M263" s="355"/>
      <c r="N263" s="355"/>
      <c r="O263" s="355"/>
      <c r="P263" s="355"/>
      <c r="Q263" s="355"/>
      <c r="R263" s="355"/>
      <c r="S263" s="355"/>
    </row>
    <row r="264" spans="1:19" s="33" customFormat="1" ht="18" customHeight="1">
      <c r="A264" s="60"/>
      <c r="B264" s="60"/>
      <c r="C264" s="628" t="s">
        <v>67</v>
      </c>
      <c r="D264" s="628"/>
      <c r="E264" s="628"/>
      <c r="F264" s="628"/>
      <c r="G264" s="628"/>
      <c r="H264" s="355"/>
      <c r="I264" s="84">
        <f>2382386823</f>
        <v>2382386823</v>
      </c>
      <c r="J264" s="356"/>
      <c r="K264" s="84">
        <v>1938678628</v>
      </c>
      <c r="L264" s="355"/>
      <c r="M264" s="355"/>
      <c r="N264" s="355"/>
      <c r="O264" s="355"/>
      <c r="P264" s="355"/>
      <c r="Q264" s="355"/>
      <c r="R264" s="355"/>
      <c r="S264" s="355"/>
    </row>
    <row r="265" spans="1:19" s="33" customFormat="1" ht="18" customHeight="1">
      <c r="A265" s="60"/>
      <c r="B265" s="60"/>
      <c r="C265" s="628" t="s">
        <v>68</v>
      </c>
      <c r="D265" s="628"/>
      <c r="E265" s="628"/>
      <c r="F265" s="628"/>
      <c r="G265" s="628"/>
      <c r="H265" s="355"/>
      <c r="I265" s="356"/>
      <c r="J265" s="356"/>
      <c r="K265" s="502"/>
      <c r="L265" s="355"/>
      <c r="M265" s="355"/>
      <c r="N265" s="355"/>
      <c r="O265" s="355"/>
      <c r="P265" s="355"/>
      <c r="Q265" s="355"/>
      <c r="R265" s="355"/>
      <c r="S265" s="355"/>
    </row>
    <row r="266" spans="1:19" s="33" customFormat="1" ht="18" customHeight="1">
      <c r="A266" s="60"/>
      <c r="B266" s="60"/>
      <c r="C266" s="628" t="s">
        <v>17</v>
      </c>
      <c r="D266" s="628"/>
      <c r="E266" s="628"/>
      <c r="F266" s="628"/>
      <c r="G266" s="628"/>
      <c r="H266" s="355"/>
      <c r="I266" s="356"/>
      <c r="J266" s="356"/>
      <c r="K266" s="502"/>
      <c r="L266" s="355"/>
      <c r="M266" s="355"/>
      <c r="N266" s="355"/>
      <c r="O266" s="355"/>
      <c r="P266" s="355"/>
      <c r="Q266" s="355"/>
      <c r="R266" s="355"/>
      <c r="S266" s="355"/>
    </row>
    <row r="267" spans="1:11" s="33" customFormat="1" ht="6.75" customHeight="1">
      <c r="A267" s="60"/>
      <c r="B267" s="60"/>
      <c r="C267" s="60"/>
      <c r="I267" s="132"/>
      <c r="J267" s="59"/>
      <c r="K267" s="498"/>
    </row>
    <row r="268" spans="1:11" s="33" customFormat="1" ht="18" customHeight="1" thickBot="1">
      <c r="A268" s="60"/>
      <c r="B268" s="60"/>
      <c r="C268" s="614" t="s">
        <v>69</v>
      </c>
      <c r="D268" s="614"/>
      <c r="E268" s="614"/>
      <c r="F268" s="614"/>
      <c r="G268" s="614"/>
      <c r="I268" s="50">
        <f>+I264+I263</f>
        <v>2907030124.196394</v>
      </c>
      <c r="J268" s="59"/>
      <c r="K268" s="515">
        <f>K263+K264</f>
        <v>2382386823</v>
      </c>
    </row>
    <row r="269" spans="1:11" s="33" customFormat="1" ht="18" customHeight="1" thickTop="1">
      <c r="A269" s="60"/>
      <c r="B269" s="60"/>
      <c r="C269" s="552"/>
      <c r="D269" s="552"/>
      <c r="E269" s="552"/>
      <c r="F269" s="552"/>
      <c r="G269" s="552"/>
      <c r="I269" s="132"/>
      <c r="J269" s="59"/>
      <c r="K269" s="553"/>
    </row>
    <row r="270" spans="1:11" s="33" customFormat="1" ht="18" customHeight="1">
      <c r="A270" s="3" t="s">
        <v>422</v>
      </c>
      <c r="B270" s="82"/>
      <c r="C270" s="98" t="s">
        <v>423</v>
      </c>
      <c r="I270" s="132"/>
      <c r="K270" s="498"/>
    </row>
    <row r="271" spans="1:11" s="33" customFormat="1" ht="7.5" customHeight="1">
      <c r="A271" s="3"/>
      <c r="B271" s="82"/>
      <c r="C271" s="82"/>
      <c r="I271" s="132"/>
      <c r="K271" s="498"/>
    </row>
    <row r="272" spans="1:11" s="33" customFormat="1" ht="18" customHeight="1">
      <c r="A272" s="358" t="s">
        <v>161</v>
      </c>
      <c r="B272" s="82"/>
      <c r="C272" s="357" t="s">
        <v>160</v>
      </c>
      <c r="I272" s="132"/>
      <c r="K272" s="498"/>
    </row>
    <row r="273" spans="1:11" s="33" customFormat="1" ht="18" customHeight="1">
      <c r="A273" s="3"/>
      <c r="B273" s="82"/>
      <c r="C273" s="82"/>
      <c r="I273" s="132"/>
      <c r="K273" s="498"/>
    </row>
    <row r="274" spans="1:11" s="33" customFormat="1" ht="18" customHeight="1" hidden="1">
      <c r="A274" s="358" t="s">
        <v>174</v>
      </c>
      <c r="B274" s="82"/>
      <c r="C274" s="359" t="s">
        <v>162</v>
      </c>
      <c r="G274" s="629" t="s">
        <v>475</v>
      </c>
      <c r="I274" s="598" t="s">
        <v>70</v>
      </c>
      <c r="K274" s="421" t="s">
        <v>126</v>
      </c>
    </row>
    <row r="275" spans="1:11" s="33" customFormat="1" ht="18" customHeight="1" hidden="1">
      <c r="A275" s="3"/>
      <c r="B275" s="82"/>
      <c r="C275" s="82"/>
      <c r="G275" s="629"/>
      <c r="I275" s="599"/>
      <c r="K275" s="433" t="s">
        <v>246</v>
      </c>
    </row>
    <row r="276" spans="1:11" s="33" customFormat="1" ht="18" customHeight="1" hidden="1">
      <c r="A276" s="3"/>
      <c r="B276" s="82"/>
      <c r="C276" s="360" t="s">
        <v>163</v>
      </c>
      <c r="G276" s="345" t="s">
        <v>166</v>
      </c>
      <c r="I276" s="345" t="s">
        <v>71</v>
      </c>
      <c r="K276" s="541"/>
    </row>
    <row r="277" spans="1:11" s="33" customFormat="1" ht="18" customHeight="1" hidden="1">
      <c r="A277" s="3"/>
      <c r="B277" s="82"/>
      <c r="C277" s="361" t="s">
        <v>86</v>
      </c>
      <c r="I277" s="539"/>
      <c r="K277" s="542"/>
    </row>
    <row r="278" spans="1:11" s="33" customFormat="1" ht="18" customHeight="1" hidden="1">
      <c r="A278" s="3"/>
      <c r="B278" s="82"/>
      <c r="C278" s="361" t="s">
        <v>87</v>
      </c>
      <c r="I278" s="539"/>
      <c r="K278" s="542"/>
    </row>
    <row r="279" spans="1:11" s="33" customFormat="1" ht="18" customHeight="1" hidden="1">
      <c r="A279" s="3"/>
      <c r="B279" s="82"/>
      <c r="C279" s="361" t="s">
        <v>164</v>
      </c>
      <c r="I279" s="539"/>
      <c r="K279" s="542"/>
    </row>
    <row r="280" spans="1:11" s="33" customFormat="1" ht="18" customHeight="1" hidden="1">
      <c r="A280" s="3"/>
      <c r="B280" s="82"/>
      <c r="C280" s="361" t="s">
        <v>479</v>
      </c>
      <c r="I280" s="539"/>
      <c r="K280" s="542"/>
    </row>
    <row r="281" spans="1:11" s="33" customFormat="1" ht="18" customHeight="1" hidden="1">
      <c r="A281" s="3"/>
      <c r="B281" s="82"/>
      <c r="C281" s="361" t="s">
        <v>84</v>
      </c>
      <c r="I281" s="539"/>
      <c r="K281" s="542"/>
    </row>
    <row r="282" spans="1:11" s="33" customFormat="1" ht="18" customHeight="1" hidden="1">
      <c r="A282" s="3"/>
      <c r="B282" s="82"/>
      <c r="C282" s="361" t="s">
        <v>85</v>
      </c>
      <c r="I282" s="539"/>
      <c r="K282" s="542"/>
    </row>
    <row r="283" spans="1:11" s="33" customFormat="1" ht="18" customHeight="1" hidden="1">
      <c r="A283" s="3"/>
      <c r="B283" s="82"/>
      <c r="C283" s="361" t="s">
        <v>80</v>
      </c>
      <c r="I283" s="539"/>
      <c r="K283" s="542"/>
    </row>
    <row r="284" spans="1:11" s="33" customFormat="1" ht="18" customHeight="1" hidden="1">
      <c r="A284" s="3"/>
      <c r="B284" s="82"/>
      <c r="C284" s="82"/>
      <c r="I284" s="540"/>
      <c r="K284" s="543"/>
    </row>
    <row r="285" spans="1:11" s="33" customFormat="1" ht="18" customHeight="1" hidden="1">
      <c r="A285" s="3"/>
      <c r="B285" s="82"/>
      <c r="C285" s="360" t="s">
        <v>167</v>
      </c>
      <c r="G285" s="345" t="s">
        <v>169</v>
      </c>
      <c r="I285" s="345" t="s">
        <v>76</v>
      </c>
      <c r="K285" s="544"/>
    </row>
    <row r="286" spans="1:11" s="33" customFormat="1" ht="18" customHeight="1" hidden="1">
      <c r="A286" s="3"/>
      <c r="B286" s="82"/>
      <c r="C286" s="361" t="s">
        <v>168</v>
      </c>
      <c r="G286" s="345" t="s">
        <v>169</v>
      </c>
      <c r="I286" s="345"/>
      <c r="K286" s="542"/>
    </row>
    <row r="287" spans="1:11" s="33" customFormat="1" ht="18" customHeight="1" hidden="1">
      <c r="A287" s="3"/>
      <c r="B287" s="82"/>
      <c r="C287" s="361" t="s">
        <v>89</v>
      </c>
      <c r="I287" s="345">
        <v>0</v>
      </c>
      <c r="K287" s="542"/>
    </row>
    <row r="288" spans="1:11" s="33" customFormat="1" ht="18" customHeight="1" hidden="1">
      <c r="A288" s="3"/>
      <c r="B288" s="82"/>
      <c r="C288" s="361" t="s">
        <v>88</v>
      </c>
      <c r="I288" s="345"/>
      <c r="K288" s="542"/>
    </row>
    <row r="289" spans="1:11" s="33" customFormat="1" ht="18" customHeight="1" hidden="1">
      <c r="A289" s="3"/>
      <c r="B289" s="82"/>
      <c r="C289" s="361"/>
      <c r="I289" s="345"/>
      <c r="K289" s="542"/>
    </row>
    <row r="290" spans="1:11" s="33" customFormat="1" ht="18" customHeight="1" hidden="1">
      <c r="A290" s="3"/>
      <c r="B290" s="82"/>
      <c r="C290" s="360" t="s">
        <v>170</v>
      </c>
      <c r="G290" s="345" t="s">
        <v>169</v>
      </c>
      <c r="I290" s="345" t="s">
        <v>75</v>
      </c>
      <c r="K290" s="544"/>
    </row>
    <row r="291" spans="1:11" s="33" customFormat="1" ht="18" customHeight="1" hidden="1">
      <c r="A291" s="3"/>
      <c r="B291" s="82"/>
      <c r="C291" s="361" t="s">
        <v>171</v>
      </c>
      <c r="I291" s="345"/>
      <c r="K291" s="542"/>
    </row>
    <row r="292" spans="1:11" s="33" customFormat="1" ht="18" customHeight="1" hidden="1">
      <c r="A292" s="3"/>
      <c r="B292" s="82"/>
      <c r="C292" s="361" t="s">
        <v>165</v>
      </c>
      <c r="I292" s="345"/>
      <c r="K292" s="542"/>
    </row>
    <row r="293" spans="1:11" s="33" customFormat="1" ht="18" customHeight="1" hidden="1">
      <c r="A293" s="3"/>
      <c r="B293" s="82"/>
      <c r="C293" s="361" t="s">
        <v>480</v>
      </c>
      <c r="I293" s="345"/>
      <c r="K293" s="542"/>
    </row>
    <row r="294" spans="1:11" s="33" customFormat="1" ht="18" customHeight="1" hidden="1">
      <c r="A294" s="3"/>
      <c r="B294" s="82"/>
      <c r="C294" s="361" t="s">
        <v>91</v>
      </c>
      <c r="I294" s="345"/>
      <c r="K294" s="542"/>
    </row>
    <row r="295" spans="1:11" s="33" customFormat="1" ht="18" customHeight="1" hidden="1">
      <c r="A295" s="3"/>
      <c r="B295" s="82"/>
      <c r="C295" s="361" t="s">
        <v>90</v>
      </c>
      <c r="I295" s="345"/>
      <c r="K295" s="542"/>
    </row>
    <row r="296" spans="1:11" s="33" customFormat="1" ht="18" customHeight="1" hidden="1">
      <c r="A296" s="3"/>
      <c r="B296" s="82"/>
      <c r="C296" s="361"/>
      <c r="I296" s="345"/>
      <c r="K296" s="544"/>
    </row>
    <row r="297" spans="1:11" s="33" customFormat="1" ht="18" customHeight="1" hidden="1">
      <c r="A297" s="3"/>
      <c r="B297" s="82"/>
      <c r="C297" s="360" t="s">
        <v>72</v>
      </c>
      <c r="D297" s="345"/>
      <c r="G297" s="345" t="s">
        <v>169</v>
      </c>
      <c r="I297" s="345" t="s">
        <v>74</v>
      </c>
      <c r="K297" s="544"/>
    </row>
    <row r="298" spans="1:11" s="33" customFormat="1" ht="18" customHeight="1" hidden="1">
      <c r="A298" s="3"/>
      <c r="B298" s="82"/>
      <c r="C298" s="361" t="s">
        <v>171</v>
      </c>
      <c r="D298" s="345"/>
      <c r="I298" s="345"/>
      <c r="K298" s="544"/>
    </row>
    <row r="299" spans="1:11" s="33" customFormat="1" ht="18" customHeight="1" hidden="1">
      <c r="A299" s="3"/>
      <c r="B299" s="82"/>
      <c r="C299" s="361" t="s">
        <v>165</v>
      </c>
      <c r="D299" s="345"/>
      <c r="I299" s="345"/>
      <c r="K299" s="544"/>
    </row>
    <row r="300" spans="1:11" s="33" customFormat="1" ht="18" customHeight="1" hidden="1">
      <c r="A300" s="3"/>
      <c r="B300" s="82"/>
      <c r="C300" s="361"/>
      <c r="D300" s="345"/>
      <c r="I300" s="345"/>
      <c r="K300" s="543"/>
    </row>
    <row r="301" spans="1:11" s="33" customFormat="1" ht="18" customHeight="1" hidden="1">
      <c r="A301" s="3"/>
      <c r="B301" s="82"/>
      <c r="C301" s="360" t="s">
        <v>172</v>
      </c>
      <c r="D301" s="345"/>
      <c r="G301" s="345" t="s">
        <v>169</v>
      </c>
      <c r="I301" s="345"/>
      <c r="K301" s="543"/>
    </row>
    <row r="302" spans="1:11" s="33" customFormat="1" ht="18" customHeight="1" hidden="1">
      <c r="A302" s="3"/>
      <c r="B302" s="82"/>
      <c r="C302" s="361" t="s">
        <v>171</v>
      </c>
      <c r="D302" s="345"/>
      <c r="I302" s="345"/>
      <c r="K302" s="544"/>
    </row>
    <row r="303" spans="1:11" s="33" customFormat="1" ht="18" customHeight="1" hidden="1">
      <c r="A303" s="3"/>
      <c r="B303" s="82"/>
      <c r="C303" s="361" t="s">
        <v>165</v>
      </c>
      <c r="D303" s="345"/>
      <c r="I303" s="345"/>
      <c r="K303" s="544"/>
    </row>
    <row r="304" spans="1:11" s="33" customFormat="1" ht="18" customHeight="1" hidden="1">
      <c r="A304" s="3"/>
      <c r="B304" s="82"/>
      <c r="C304" s="361"/>
      <c r="D304" s="345"/>
      <c r="I304" s="345"/>
      <c r="K304" s="544"/>
    </row>
    <row r="305" spans="1:11" s="33" customFormat="1" ht="18" customHeight="1" hidden="1">
      <c r="A305" s="3"/>
      <c r="B305" s="82"/>
      <c r="C305" s="360" t="s">
        <v>481</v>
      </c>
      <c r="D305" s="345"/>
      <c r="G305" s="345" t="s">
        <v>169</v>
      </c>
      <c r="I305" s="345" t="s">
        <v>73</v>
      </c>
      <c r="K305" s="544"/>
    </row>
    <row r="306" spans="1:11" s="33" customFormat="1" ht="18" customHeight="1" hidden="1">
      <c r="A306" s="3"/>
      <c r="B306" s="82"/>
      <c r="C306" s="361" t="s">
        <v>482</v>
      </c>
      <c r="D306" s="345"/>
      <c r="I306" s="132"/>
      <c r="K306" s="193"/>
    </row>
    <row r="307" spans="1:11" s="33" customFormat="1" ht="18" customHeight="1" hidden="1">
      <c r="A307" s="3"/>
      <c r="B307" s="82"/>
      <c r="C307" s="361" t="s">
        <v>483</v>
      </c>
      <c r="D307" s="345"/>
      <c r="I307" s="132"/>
      <c r="K307" s="193"/>
    </row>
    <row r="308" spans="1:11" s="33" customFormat="1" ht="18" customHeight="1" hidden="1">
      <c r="A308" s="3"/>
      <c r="B308" s="82"/>
      <c r="C308" s="361" t="s">
        <v>92</v>
      </c>
      <c r="D308" s="345"/>
      <c r="I308" s="132"/>
      <c r="K308" s="193"/>
    </row>
    <row r="309" spans="1:11" s="33" customFormat="1" ht="18" customHeight="1" hidden="1">
      <c r="A309" s="3"/>
      <c r="B309" s="82"/>
      <c r="C309" s="361" t="s">
        <v>93</v>
      </c>
      <c r="D309" s="345"/>
      <c r="I309" s="132"/>
      <c r="K309" s="193"/>
    </row>
    <row r="310" spans="1:11" s="33" customFormat="1" ht="18" customHeight="1" hidden="1">
      <c r="A310" s="3"/>
      <c r="B310" s="82"/>
      <c r="C310" s="361" t="s">
        <v>94</v>
      </c>
      <c r="D310" s="345"/>
      <c r="I310" s="132"/>
      <c r="K310" s="193"/>
    </row>
    <row r="311" spans="1:11" s="33" customFormat="1" ht="18" customHeight="1" hidden="1">
      <c r="A311" s="3"/>
      <c r="B311" s="82"/>
      <c r="C311" s="361" t="s">
        <v>81</v>
      </c>
      <c r="D311" s="345"/>
      <c r="I311" s="132"/>
      <c r="K311" s="193"/>
    </row>
    <row r="312" spans="1:11" s="33" customFormat="1" ht="18" customHeight="1" hidden="1">
      <c r="A312" s="3"/>
      <c r="B312" s="82"/>
      <c r="C312" s="361"/>
      <c r="D312" s="345"/>
      <c r="I312" s="132"/>
      <c r="K312" s="429"/>
    </row>
    <row r="313" spans="1:11" s="33" customFormat="1" ht="18" customHeight="1" hidden="1">
      <c r="A313" s="3"/>
      <c r="B313" s="82"/>
      <c r="C313" s="361"/>
      <c r="D313" s="345"/>
      <c r="I313" s="132"/>
      <c r="K313" s="429"/>
    </row>
    <row r="314" spans="1:11" s="33" customFormat="1" ht="18" customHeight="1">
      <c r="A314" s="358" t="s">
        <v>50</v>
      </c>
      <c r="B314" s="60"/>
      <c r="C314" s="360" t="s">
        <v>175</v>
      </c>
      <c r="I314" s="421"/>
      <c r="J314" s="135"/>
      <c r="K314" s="421" t="s">
        <v>527</v>
      </c>
    </row>
    <row r="315" spans="1:11" s="33" customFormat="1" ht="18" customHeight="1">
      <c r="A315" s="60"/>
      <c r="B315" s="60"/>
      <c r="C315" s="60"/>
      <c r="I315" s="10"/>
      <c r="J315" s="132"/>
      <c r="K315" s="497" t="s">
        <v>246</v>
      </c>
    </row>
    <row r="316" spans="1:11" s="33" customFormat="1" ht="18" customHeight="1">
      <c r="A316" s="60"/>
      <c r="B316" s="60"/>
      <c r="C316" s="363" t="s">
        <v>520</v>
      </c>
      <c r="D316" s="345"/>
      <c r="I316" s="354"/>
      <c r="K316" s="503"/>
    </row>
    <row r="317" spans="1:12" s="33" customFormat="1" ht="18" customHeight="1">
      <c r="A317" s="60"/>
      <c r="B317" s="60"/>
      <c r="C317" s="362" t="s">
        <v>167</v>
      </c>
      <c r="D317" s="345"/>
      <c r="I317" s="193"/>
      <c r="J317" s="59"/>
      <c r="K317" s="193">
        <f>1194956914</f>
        <v>1194956914</v>
      </c>
      <c r="L317" s="127"/>
    </row>
    <row r="318" spans="1:11" s="33" customFormat="1" ht="18" customHeight="1">
      <c r="A318" s="60"/>
      <c r="B318" s="60"/>
      <c r="C318" s="362" t="s">
        <v>176</v>
      </c>
      <c r="D318" s="345"/>
      <c r="I318" s="193"/>
      <c r="J318" s="59"/>
      <c r="K318" s="193">
        <f>36452452</f>
        <v>36452452</v>
      </c>
    </row>
    <row r="319" spans="1:11" s="33" customFormat="1" ht="18" customHeight="1">
      <c r="A319" s="60"/>
      <c r="B319" s="60"/>
      <c r="C319" s="362" t="s">
        <v>15</v>
      </c>
      <c r="D319" s="345"/>
      <c r="I319" s="193"/>
      <c r="J319" s="59"/>
      <c r="K319" s="193">
        <f>56000000</f>
        <v>56000000</v>
      </c>
    </row>
    <row r="320" spans="1:11" s="33" customFormat="1" ht="18" customHeight="1">
      <c r="A320" s="60"/>
      <c r="B320" s="60"/>
      <c r="C320" s="362" t="s">
        <v>521</v>
      </c>
      <c r="D320" s="345"/>
      <c r="I320" s="193"/>
      <c r="J320" s="59"/>
      <c r="K320" s="193">
        <f>308000</f>
        <v>308000</v>
      </c>
    </row>
    <row r="321" spans="1:11" s="33" customFormat="1" ht="18" customHeight="1">
      <c r="A321" s="60"/>
      <c r="B321" s="60"/>
      <c r="C321" s="362" t="s">
        <v>177</v>
      </c>
      <c r="D321" s="345"/>
      <c r="I321" s="193"/>
      <c r="J321" s="59"/>
      <c r="K321" s="193">
        <f>32479000</f>
        <v>32479000</v>
      </c>
    </row>
    <row r="322" spans="1:11" s="33" customFormat="1" ht="15.75" customHeight="1">
      <c r="A322" s="60"/>
      <c r="B322" s="60"/>
      <c r="C322" s="60"/>
      <c r="I322" s="503"/>
      <c r="K322" s="503"/>
    </row>
    <row r="323" spans="1:11" s="33" customFormat="1" ht="18" customHeight="1">
      <c r="A323" s="60"/>
      <c r="B323" s="60"/>
      <c r="C323" s="363" t="s">
        <v>522</v>
      </c>
      <c r="D323" s="345"/>
      <c r="I323" s="503"/>
      <c r="K323" s="503"/>
    </row>
    <row r="324" spans="1:11" s="33" customFormat="1" ht="18" customHeight="1">
      <c r="A324" s="60"/>
      <c r="B324" s="60"/>
      <c r="C324" s="362" t="s">
        <v>178</v>
      </c>
      <c r="D324" s="345"/>
      <c r="I324" s="486"/>
      <c r="K324" s="486">
        <f>1110616795</f>
        <v>1110616795</v>
      </c>
    </row>
    <row r="325" spans="1:11" s="33" customFormat="1" ht="18" customHeight="1">
      <c r="A325" s="60"/>
      <c r="B325" s="60"/>
      <c r="C325" s="362" t="s">
        <v>173</v>
      </c>
      <c r="D325" s="345"/>
      <c r="I325" s="486"/>
      <c r="K325" s="486">
        <f>46446481</f>
        <v>46446481</v>
      </c>
    </row>
    <row r="326" spans="1:11" s="33" customFormat="1" ht="18" customHeight="1">
      <c r="A326" s="60"/>
      <c r="B326" s="60"/>
      <c r="C326" s="362" t="s">
        <v>14</v>
      </c>
      <c r="D326" s="345"/>
      <c r="I326" s="486"/>
      <c r="K326" s="486">
        <f>1248273578</f>
        <v>1248273578</v>
      </c>
    </row>
    <row r="327" spans="1:11" s="33" customFormat="1" ht="18" customHeight="1">
      <c r="A327" s="60"/>
      <c r="B327" s="60"/>
      <c r="C327" s="60"/>
      <c r="I327" s="354"/>
      <c r="K327" s="503"/>
    </row>
    <row r="328" spans="1:11" s="33" customFormat="1" ht="18" customHeight="1">
      <c r="A328" s="125"/>
      <c r="B328" s="60"/>
      <c r="C328" s="60" t="s">
        <v>315</v>
      </c>
      <c r="I328" s="137"/>
      <c r="K328" s="421"/>
    </row>
    <row r="329" spans="1:15" s="128" customFormat="1" ht="17.25" customHeight="1">
      <c r="A329" s="130"/>
      <c r="B329" s="130"/>
      <c r="C329" s="364" t="s">
        <v>16</v>
      </c>
      <c r="D329" s="345"/>
      <c r="E329" s="345"/>
      <c r="F329" s="345"/>
      <c r="G329" s="345"/>
      <c r="H329" s="345"/>
      <c r="I329" s="365"/>
      <c r="J329" s="365"/>
      <c r="K329" s="365">
        <f>-1795181510</f>
        <v>-1795181510</v>
      </c>
      <c r="L329" s="345"/>
      <c r="M329" s="345"/>
      <c r="N329" s="345"/>
      <c r="O329" s="345"/>
    </row>
    <row r="330" spans="1:11" s="33" customFormat="1" ht="18" customHeight="1">
      <c r="A330" s="60"/>
      <c r="B330" s="60"/>
      <c r="C330" s="60"/>
      <c r="I330" s="124"/>
      <c r="K330" s="421"/>
    </row>
    <row r="331" spans="1:11" s="191" customFormat="1" ht="18" customHeight="1">
      <c r="A331" s="415"/>
      <c r="B331" s="385"/>
      <c r="C331" s="420" t="s">
        <v>181</v>
      </c>
      <c r="I331" s="137"/>
      <c r="K331" s="421"/>
    </row>
    <row r="332" spans="1:11" s="191" customFormat="1" ht="15">
      <c r="A332" s="406"/>
      <c r="C332" s="364" t="s">
        <v>16</v>
      </c>
      <c r="I332" s="546"/>
      <c r="J332" s="233"/>
      <c r="K332" s="248">
        <f>20847821629</f>
        <v>20847821629</v>
      </c>
    </row>
    <row r="333" spans="1:11" s="191" customFormat="1" ht="15">
      <c r="A333" s="406"/>
      <c r="C333" s="362" t="s">
        <v>534</v>
      </c>
      <c r="I333" s="546"/>
      <c r="J333" s="233"/>
      <c r="K333" s="248">
        <f>500000000</f>
        <v>500000000</v>
      </c>
    </row>
    <row r="334" spans="1:11" s="191" customFormat="1" ht="15">
      <c r="A334" s="406"/>
      <c r="C334" s="362" t="s">
        <v>178</v>
      </c>
      <c r="I334" s="546"/>
      <c r="J334" s="233"/>
      <c r="K334" s="248">
        <f>20000000</f>
        <v>20000000</v>
      </c>
    </row>
    <row r="335" spans="1:11" s="191" customFormat="1" ht="5.25" customHeight="1">
      <c r="A335" s="406"/>
      <c r="I335" s="193"/>
      <c r="K335" s="193"/>
    </row>
    <row r="336" spans="1:11" s="191" customFormat="1" ht="18" customHeight="1">
      <c r="A336" s="385"/>
      <c r="B336" s="385"/>
      <c r="C336" s="385"/>
      <c r="I336" s="416"/>
      <c r="K336" s="421"/>
    </row>
    <row r="337" spans="1:11" s="191" customFormat="1" ht="8.25" customHeight="1">
      <c r="A337" s="385"/>
      <c r="B337" s="385"/>
      <c r="C337" s="385"/>
      <c r="I337" s="416"/>
      <c r="K337" s="493"/>
    </row>
    <row r="338" spans="1:11" s="437" customFormat="1" ht="18" customHeight="1" hidden="1">
      <c r="A338" s="435" t="s">
        <v>262</v>
      </c>
      <c r="B338" s="436"/>
      <c r="C338" s="436" t="s">
        <v>210</v>
      </c>
      <c r="I338" s="438"/>
      <c r="K338" s="504"/>
    </row>
    <row r="339" spans="1:11" s="191" customFormat="1" ht="18" customHeight="1" hidden="1">
      <c r="A339" s="435" t="s">
        <v>472</v>
      </c>
      <c r="B339" s="385"/>
      <c r="C339" s="385" t="s">
        <v>211</v>
      </c>
      <c r="I339" s="193"/>
      <c r="K339" s="505"/>
    </row>
    <row r="340" spans="1:11" s="191" customFormat="1" ht="18" customHeight="1" hidden="1">
      <c r="A340" s="370"/>
      <c r="B340" s="439"/>
      <c r="C340" s="440"/>
      <c r="D340" s="439"/>
      <c r="E340" s="439"/>
      <c r="F340" s="439"/>
      <c r="G340" s="439"/>
      <c r="H340" s="439"/>
      <c r="I340" s="441"/>
      <c r="J340" s="439"/>
      <c r="K340" s="506"/>
    </row>
    <row r="341" spans="1:11" s="191" customFormat="1" ht="19.5" customHeight="1" hidden="1">
      <c r="A341" s="370"/>
      <c r="B341" s="385"/>
      <c r="C341" s="609" t="s">
        <v>239</v>
      </c>
      <c r="D341" s="615"/>
      <c r="E341" s="615"/>
      <c r="F341" s="443"/>
      <c r="G341" s="442" t="s">
        <v>264</v>
      </c>
      <c r="H341" s="609" t="s">
        <v>197</v>
      </c>
      <c r="I341" s="610"/>
      <c r="J341" s="609" t="s">
        <v>82</v>
      </c>
      <c r="K341" s="610"/>
    </row>
    <row r="342" spans="1:11" s="191" customFormat="1" ht="20.25" customHeight="1" hidden="1">
      <c r="A342" s="370"/>
      <c r="B342" s="385"/>
      <c r="C342" s="611" t="s">
        <v>265</v>
      </c>
      <c r="D342" s="612"/>
      <c r="E342" s="612"/>
      <c r="F342" s="444"/>
      <c r="G342" s="445"/>
      <c r="H342" s="613"/>
      <c r="I342" s="613"/>
      <c r="J342" s="613"/>
      <c r="K342" s="613"/>
    </row>
    <row r="343" spans="1:11" s="191" customFormat="1" ht="24.75" customHeight="1" hidden="1">
      <c r="A343" s="370"/>
      <c r="B343" s="385"/>
      <c r="C343" s="616" t="s">
        <v>266</v>
      </c>
      <c r="D343" s="617"/>
      <c r="E343" s="617"/>
      <c r="F343" s="444"/>
      <c r="G343" s="445"/>
      <c r="H343" s="613"/>
      <c r="I343" s="613"/>
      <c r="J343" s="613"/>
      <c r="K343" s="613"/>
    </row>
    <row r="344" spans="1:11" s="191" customFormat="1" ht="20.25" customHeight="1" hidden="1">
      <c r="A344" s="370"/>
      <c r="B344" s="385"/>
      <c r="C344" s="606" t="s">
        <v>444</v>
      </c>
      <c r="D344" s="607"/>
      <c r="E344" s="607"/>
      <c r="F344" s="447"/>
      <c r="G344" s="448" t="s">
        <v>445</v>
      </c>
      <c r="H344" s="608">
        <f>'[4]BS&amp;PLcanam'!I18/'[4]BS&amp;PLcanam'!I89*100</f>
        <v>74.33175793629916</v>
      </c>
      <c r="I344" s="608"/>
      <c r="J344" s="608" t="e">
        <f>'[4]BS&amp;PLcanam'!K18/'[4]BS&amp;PLcanam'!K89*100</f>
        <v>#REF!</v>
      </c>
      <c r="K344" s="608"/>
    </row>
    <row r="345" spans="1:11" s="191" customFormat="1" ht="20.25" customHeight="1" hidden="1">
      <c r="A345" s="370"/>
      <c r="B345" s="385"/>
      <c r="C345" s="606" t="s">
        <v>386</v>
      </c>
      <c r="D345" s="607"/>
      <c r="E345" s="607"/>
      <c r="F345" s="447"/>
      <c r="G345" s="448" t="s">
        <v>445</v>
      </c>
      <c r="H345" s="608">
        <f>'[4]BS&amp;PLcanam'!I51/'[4]BS&amp;PLcanam'!I89*100</f>
        <v>25.66824206370085</v>
      </c>
      <c r="I345" s="608"/>
      <c r="J345" s="608" t="e">
        <f>'[4]BS&amp;PLcanam'!K51/'[4]BS&amp;PLcanam'!K89*100</f>
        <v>#REF!</v>
      </c>
      <c r="K345" s="608"/>
    </row>
    <row r="346" spans="1:11" s="191" customFormat="1" ht="23.25" customHeight="1" hidden="1">
      <c r="A346" s="370"/>
      <c r="B346" s="385"/>
      <c r="C346" s="616" t="s">
        <v>387</v>
      </c>
      <c r="D346" s="617"/>
      <c r="E346" s="617"/>
      <c r="F346" s="444"/>
      <c r="G346" s="449"/>
      <c r="H346" s="613"/>
      <c r="I346" s="613"/>
      <c r="J346" s="613"/>
      <c r="K346" s="613"/>
    </row>
    <row r="347" spans="1:11" s="191" customFormat="1" ht="20.25" customHeight="1" hidden="1">
      <c r="A347" s="370"/>
      <c r="B347" s="385"/>
      <c r="C347" s="606" t="s">
        <v>208</v>
      </c>
      <c r="D347" s="607"/>
      <c r="E347" s="607"/>
      <c r="F347" s="447"/>
      <c r="G347" s="448" t="s">
        <v>445</v>
      </c>
      <c r="H347" s="608">
        <f>'[4]BS&amp;PLcanam'!I108/'[4]BS&amp;PLcanam'!I149*100</f>
        <v>86.19890566339996</v>
      </c>
      <c r="I347" s="608"/>
      <c r="J347" s="608">
        <f>'[4]BS&amp;PLcanam'!K108/'[4]BS&amp;PLcanam'!K149*100</f>
        <v>84.26986621663369</v>
      </c>
      <c r="K347" s="608"/>
    </row>
    <row r="348" spans="1:11" s="191" customFormat="1" ht="20.25" customHeight="1" hidden="1">
      <c r="A348" s="370"/>
      <c r="B348" s="385"/>
      <c r="C348" s="606" t="s">
        <v>388</v>
      </c>
      <c r="D348" s="607"/>
      <c r="E348" s="607"/>
      <c r="F348" s="447"/>
      <c r="G348" s="448" t="s">
        <v>445</v>
      </c>
      <c r="H348" s="608">
        <f>'[4]BS&amp;PLcanam'!I129/'[4]BS&amp;PLcanam'!I149*100</f>
        <v>13.801094336600048</v>
      </c>
      <c r="I348" s="608"/>
      <c r="J348" s="608">
        <f>100-J347</f>
        <v>15.730133783366313</v>
      </c>
      <c r="K348" s="608"/>
    </row>
    <row r="349" spans="1:11" s="191" customFormat="1" ht="18" customHeight="1" hidden="1">
      <c r="A349" s="370"/>
      <c r="B349" s="385"/>
      <c r="C349" s="446"/>
      <c r="D349" s="446"/>
      <c r="E349" s="446"/>
      <c r="F349" s="207"/>
      <c r="G349" s="448"/>
      <c r="H349" s="450"/>
      <c r="I349" s="450"/>
      <c r="J349" s="450"/>
      <c r="K349" s="507"/>
    </row>
    <row r="350" spans="1:11" s="191" customFormat="1" ht="18" customHeight="1" hidden="1">
      <c r="A350" s="370"/>
      <c r="B350" s="385"/>
      <c r="C350" s="446"/>
      <c r="D350" s="446"/>
      <c r="E350" s="446"/>
      <c r="F350" s="207"/>
      <c r="G350" s="448"/>
      <c r="H350" s="450"/>
      <c r="I350" s="450"/>
      <c r="J350" s="450"/>
      <c r="K350" s="507"/>
    </row>
    <row r="351" spans="1:11" s="191" customFormat="1" ht="18" customHeight="1" hidden="1">
      <c r="A351" s="370"/>
      <c r="B351" s="385"/>
      <c r="C351" s="446"/>
      <c r="D351" s="446"/>
      <c r="E351" s="446"/>
      <c r="F351" s="207"/>
      <c r="G351" s="448"/>
      <c r="H351" s="450"/>
      <c r="I351" s="450"/>
      <c r="J351" s="450"/>
      <c r="K351" s="507"/>
    </row>
    <row r="352" spans="1:11" s="191" customFormat="1" ht="18" customHeight="1" hidden="1">
      <c r="A352" s="370"/>
      <c r="B352" s="385"/>
      <c r="C352" s="446"/>
      <c r="D352" s="446"/>
      <c r="E352" s="446"/>
      <c r="F352" s="207"/>
      <c r="G352" s="448"/>
      <c r="H352" s="450"/>
      <c r="I352" s="450"/>
      <c r="J352" s="450"/>
      <c r="K352" s="507"/>
    </row>
    <row r="353" spans="1:11" s="191" customFormat="1" ht="23.25" customHeight="1" hidden="1">
      <c r="A353" s="370"/>
      <c r="B353" s="385"/>
      <c r="C353" s="616" t="s">
        <v>389</v>
      </c>
      <c r="D353" s="617"/>
      <c r="E353" s="617"/>
      <c r="F353" s="392"/>
      <c r="G353" s="451"/>
      <c r="H353" s="621"/>
      <c r="I353" s="622"/>
      <c r="J353" s="621"/>
      <c r="K353" s="623"/>
    </row>
    <row r="354" spans="1:11" s="191" customFormat="1" ht="33" customHeight="1" hidden="1">
      <c r="A354" s="370"/>
      <c r="B354" s="385"/>
      <c r="C354" s="618" t="s">
        <v>274</v>
      </c>
      <c r="D354" s="619"/>
      <c r="E354" s="619"/>
      <c r="F354" s="452"/>
      <c r="G354" s="453" t="s">
        <v>214</v>
      </c>
      <c r="H354" s="620">
        <f>'[4]BS&amp;PLcanam'!I89/'[4]BS&amp;PLcanam'!I108</f>
        <v>1.1601075353612058</v>
      </c>
      <c r="I354" s="620"/>
      <c r="J354" s="620" t="e">
        <f>'[4]BS&amp;PLcanam'!K89/'[4]BS&amp;PLcanam'!K108</f>
        <v>#REF!</v>
      </c>
      <c r="K354" s="620"/>
    </row>
    <row r="355" spans="1:11" s="191" customFormat="1" ht="32.25" customHeight="1" hidden="1">
      <c r="A355" s="370"/>
      <c r="B355" s="385"/>
      <c r="C355" s="600" t="s">
        <v>275</v>
      </c>
      <c r="D355" s="601"/>
      <c r="E355" s="601"/>
      <c r="F355" s="444"/>
      <c r="G355" s="454" t="s">
        <v>214</v>
      </c>
      <c r="H355" s="602">
        <f>'[4]BS&amp;PLcanam'!I18/'[4]BS&amp;PLcanam'!I109</f>
        <v>0.8635100706145435</v>
      </c>
      <c r="I355" s="602"/>
      <c r="J355" s="602">
        <f>'[4]BS&amp;PLcanam'!K18/'[4]BS&amp;PLcanam'!K109</f>
        <v>1.3959826614533357</v>
      </c>
      <c r="K355" s="602"/>
    </row>
    <row r="356" spans="1:11" s="191" customFormat="1" ht="33" customHeight="1" hidden="1">
      <c r="A356" s="370"/>
      <c r="B356" s="385"/>
      <c r="C356" s="600" t="s">
        <v>276</v>
      </c>
      <c r="D356" s="601"/>
      <c r="E356" s="601"/>
      <c r="F356" s="444"/>
      <c r="G356" s="454" t="s">
        <v>214</v>
      </c>
      <c r="H356" s="602">
        <f>'[4]BS&amp;PLcanam'!I23/'[4]BS&amp;PLcanam'!I109</f>
        <v>0.005989636695303075</v>
      </c>
      <c r="I356" s="602"/>
      <c r="J356" s="602">
        <f>'[4]BS&amp;PLcanam'!K23/'[4]BS&amp;PLcanam'!K109</f>
        <v>0.009232302423152356</v>
      </c>
      <c r="K356" s="602"/>
    </row>
    <row r="357" spans="1:11" s="191" customFormat="1" ht="18" customHeight="1" hidden="1">
      <c r="A357" s="370"/>
      <c r="B357" s="385"/>
      <c r="C357" s="616" t="s">
        <v>277</v>
      </c>
      <c r="D357" s="617"/>
      <c r="E357" s="617"/>
      <c r="F357" s="444"/>
      <c r="G357" s="454"/>
      <c r="H357" s="604"/>
      <c r="I357" s="604"/>
      <c r="J357" s="604"/>
      <c r="K357" s="604"/>
    </row>
    <row r="358" spans="1:11" s="33" customFormat="1" ht="18" customHeight="1" hidden="1">
      <c r="A358" s="42"/>
      <c r="B358" s="60"/>
      <c r="C358" s="624" t="s">
        <v>212</v>
      </c>
      <c r="D358" s="625"/>
      <c r="E358" s="625"/>
      <c r="F358" s="154"/>
      <c r="G358" s="155" t="s">
        <v>445</v>
      </c>
      <c r="H358" s="603">
        <v>0</v>
      </c>
      <c r="I358" s="603"/>
      <c r="J358" s="603">
        <f>'[4]PL I'!H55/'[4]PL I'!H13*100</f>
        <v>16.59405883442569</v>
      </c>
      <c r="K358" s="603"/>
    </row>
    <row r="359" spans="1:11" s="33" customFormat="1" ht="18" customHeight="1" hidden="1">
      <c r="A359" s="42"/>
      <c r="B359" s="60"/>
      <c r="C359" s="624" t="s">
        <v>213</v>
      </c>
      <c r="D359" s="625"/>
      <c r="E359" s="625"/>
      <c r="F359" s="154"/>
      <c r="G359" s="155" t="s">
        <v>445</v>
      </c>
      <c r="H359" s="603">
        <v>0</v>
      </c>
      <c r="I359" s="603"/>
      <c r="J359" s="603">
        <f>'[4]PL I'!H55/'[4]BS&amp;PLcanam'!K149*100</f>
        <v>1.1483394262379987</v>
      </c>
      <c r="K359" s="603"/>
    </row>
    <row r="360" spans="1:11" s="33" customFormat="1" ht="18" customHeight="1" hidden="1">
      <c r="A360" s="42"/>
      <c r="B360" s="60"/>
      <c r="C360" s="156" t="s">
        <v>215</v>
      </c>
      <c r="D360" s="157"/>
      <c r="E360" s="157"/>
      <c r="F360" s="158"/>
      <c r="G360" s="159" t="s">
        <v>445</v>
      </c>
      <c r="H360" s="627">
        <v>0</v>
      </c>
      <c r="I360" s="627"/>
      <c r="J360" s="627">
        <f>'[4]PL I'!H55/'[4]BS&amp;PLcanam'!K133*100</f>
        <v>8.593666396839955</v>
      </c>
      <c r="K360" s="627"/>
    </row>
    <row r="361" spans="1:11" ht="59.25" customHeight="1" hidden="1">
      <c r="A361" s="107"/>
      <c r="C361" s="116"/>
      <c r="D361" s="116"/>
      <c r="E361" s="116"/>
      <c r="F361" s="120"/>
      <c r="G361" s="119"/>
      <c r="H361" s="121"/>
      <c r="I361" s="121"/>
      <c r="J361" s="121"/>
      <c r="K361" s="508"/>
    </row>
    <row r="362" spans="1:11" s="33" customFormat="1" ht="18" customHeight="1" hidden="1">
      <c r="A362" s="150" t="s">
        <v>473</v>
      </c>
      <c r="B362" s="60"/>
      <c r="C362" s="152" t="s">
        <v>278</v>
      </c>
      <c r="D362" s="153"/>
      <c r="E362" s="153"/>
      <c r="F362" s="155"/>
      <c r="G362" s="155"/>
      <c r="H362" s="160"/>
      <c r="I362" s="40"/>
      <c r="J362" s="160"/>
      <c r="K362" s="509"/>
    </row>
    <row r="363" spans="1:11" ht="8.25" customHeight="1" hidden="1">
      <c r="A363" s="107"/>
      <c r="C363" s="118"/>
      <c r="D363" s="116"/>
      <c r="E363" s="116"/>
      <c r="F363" s="122"/>
      <c r="G363" s="122"/>
      <c r="H363" s="123"/>
      <c r="I363" s="111"/>
      <c r="J363" s="123"/>
      <c r="K363" s="509"/>
    </row>
    <row r="364" spans="1:33" s="33" customFormat="1" ht="33.75" customHeight="1" hidden="1">
      <c r="A364" s="42"/>
      <c r="B364" s="60"/>
      <c r="C364" s="626" t="str">
        <f>"Là số liệu được lấy từ Báo cáo tài chính năm 2006 của "&amp;'[3]Thong tin'!$D$3&amp;" đã được kiểm toán bởi Công ty TNHH Kiểm toán và Tư vấn."</f>
        <v>Là số liệu được lấy từ Báo cáo tài chính năm 2006 của Công ty Cổ phần Xây dựng Năng lượng đã được kiểm toán bởi Công ty TNHH Kiểm toán và Tư vấn.</v>
      </c>
      <c r="D364" s="626"/>
      <c r="E364" s="626"/>
      <c r="F364" s="626"/>
      <c r="G364" s="626"/>
      <c r="H364" s="626"/>
      <c r="I364" s="626"/>
      <c r="J364" s="626"/>
      <c r="K364" s="626"/>
      <c r="L364" s="366"/>
      <c r="M364" s="366"/>
      <c r="N364" s="366"/>
      <c r="O364" s="366"/>
      <c r="P364" s="366"/>
      <c r="Q364" s="366"/>
      <c r="R364" s="366"/>
      <c r="S364" s="366"/>
      <c r="T364" s="366"/>
      <c r="U364" s="366"/>
      <c r="V364" s="366"/>
      <c r="W364" s="366"/>
      <c r="X364" s="366"/>
      <c r="Y364" s="366"/>
      <c r="Z364" s="366"/>
      <c r="AA364" s="366"/>
      <c r="AB364" s="366"/>
      <c r="AC364" s="366"/>
      <c r="AD364" s="366"/>
      <c r="AE364" s="366"/>
      <c r="AF364" s="366"/>
      <c r="AG364" s="366"/>
    </row>
    <row r="365" spans="1:33" s="33" customFormat="1" ht="16.5" customHeight="1" hidden="1">
      <c r="A365" s="42"/>
      <c r="B365" s="60"/>
      <c r="C365" s="470"/>
      <c r="D365" s="470"/>
      <c r="E365" s="470"/>
      <c r="F365" s="470"/>
      <c r="G365" s="470"/>
      <c r="H365" s="470"/>
      <c r="I365" s="470"/>
      <c r="J365" s="470"/>
      <c r="K365" s="510"/>
      <c r="L365" s="366"/>
      <c r="M365" s="366"/>
      <c r="N365" s="366"/>
      <c r="O365" s="366"/>
      <c r="P365" s="366"/>
      <c r="Q365" s="366"/>
      <c r="R365" s="366"/>
      <c r="S365" s="366"/>
      <c r="T365" s="366"/>
      <c r="U365" s="366"/>
      <c r="V365" s="366"/>
      <c r="W365" s="366"/>
      <c r="X365" s="366"/>
      <c r="Y365" s="366"/>
      <c r="Z365" s="366"/>
      <c r="AA365" s="366"/>
      <c r="AB365" s="366"/>
      <c r="AC365" s="366"/>
      <c r="AD365" s="366"/>
      <c r="AE365" s="366"/>
      <c r="AF365" s="366"/>
      <c r="AG365" s="366"/>
    </row>
    <row r="366" spans="9:11" ht="18" customHeight="1">
      <c r="I366" s="571" t="s">
        <v>536</v>
      </c>
      <c r="J366" s="571"/>
      <c r="K366" s="571"/>
    </row>
    <row r="367" spans="1:11" s="33" customFormat="1" ht="20.25" customHeight="1">
      <c r="A367" s="60"/>
      <c r="B367" s="60"/>
      <c r="E367" s="568" t="s">
        <v>202</v>
      </c>
      <c r="F367" s="568"/>
      <c r="G367" s="568"/>
      <c r="H367" s="568"/>
      <c r="I367" s="568"/>
      <c r="J367" s="568"/>
      <c r="K367" s="568"/>
    </row>
    <row r="368" spans="1:11" s="33" customFormat="1" ht="7.5" customHeight="1">
      <c r="A368" s="60"/>
      <c r="B368" s="60"/>
      <c r="H368" s="187"/>
      <c r="I368" s="161"/>
      <c r="J368" s="161"/>
      <c r="K368" s="511"/>
    </row>
    <row r="369" spans="1:11" s="60" customFormat="1" ht="15.75" customHeight="1">
      <c r="A369" s="188" t="s">
        <v>505</v>
      </c>
      <c r="B369" s="188"/>
      <c r="C369" s="188"/>
      <c r="E369" s="632"/>
      <c r="F369" s="632"/>
      <c r="G369" s="632"/>
      <c r="I369" s="188" t="s">
        <v>373</v>
      </c>
      <c r="J369" s="188"/>
      <c r="K369" s="512"/>
    </row>
    <row r="370" spans="1:11" s="33" customFormat="1" ht="15">
      <c r="A370" s="60"/>
      <c r="B370" s="60"/>
      <c r="E370" s="40"/>
      <c r="F370" s="40"/>
      <c r="G370" s="40"/>
      <c r="K370" s="428"/>
    </row>
    <row r="371" spans="1:11" s="33" customFormat="1" ht="15">
      <c r="A371" s="60"/>
      <c r="B371" s="60"/>
      <c r="E371" s="40"/>
      <c r="F371" s="40"/>
      <c r="G371" s="40"/>
      <c r="K371" s="428"/>
    </row>
    <row r="372" spans="1:11" s="33" customFormat="1" ht="15">
      <c r="A372" s="60"/>
      <c r="B372" s="60"/>
      <c r="E372" s="40"/>
      <c r="F372" s="40"/>
      <c r="G372" s="40"/>
      <c r="K372" s="428"/>
    </row>
    <row r="373" spans="1:11" s="33" customFormat="1" ht="15">
      <c r="A373" s="60"/>
      <c r="B373" s="60"/>
      <c r="E373" s="40"/>
      <c r="F373" s="40"/>
      <c r="G373" s="40"/>
      <c r="K373" s="428"/>
    </row>
    <row r="374" spans="1:11" s="60" customFormat="1" ht="36" customHeight="1">
      <c r="A374" s="631" t="s">
        <v>525</v>
      </c>
      <c r="B374" s="631"/>
      <c r="C374" s="631"/>
      <c r="E374" s="564"/>
      <c r="F374" s="564"/>
      <c r="G374" s="564"/>
      <c r="H374" s="321"/>
      <c r="I374" s="570" t="s">
        <v>524</v>
      </c>
      <c r="J374" s="570"/>
      <c r="K374" s="570"/>
    </row>
  </sheetData>
  <mergeCells count="65">
    <mergeCell ref="E367:K367"/>
    <mergeCell ref="A374:C374"/>
    <mergeCell ref="E374:G374"/>
    <mergeCell ref="I374:K374"/>
    <mergeCell ref="E369:G369"/>
    <mergeCell ref="C260:G260"/>
    <mergeCell ref="G274:G275"/>
    <mergeCell ref="C261:E261"/>
    <mergeCell ref="C262:G262"/>
    <mergeCell ref="C263:G263"/>
    <mergeCell ref="C264:G264"/>
    <mergeCell ref="C265:G265"/>
    <mergeCell ref="C266:G266"/>
    <mergeCell ref="C358:E358"/>
    <mergeCell ref="C356:E356"/>
    <mergeCell ref="H356:I356"/>
    <mergeCell ref="C364:K364"/>
    <mergeCell ref="C359:E359"/>
    <mergeCell ref="H359:I359"/>
    <mergeCell ref="J359:K359"/>
    <mergeCell ref="H360:I360"/>
    <mergeCell ref="J360:K360"/>
    <mergeCell ref="C357:E357"/>
    <mergeCell ref="C354:E354"/>
    <mergeCell ref="H354:I354"/>
    <mergeCell ref="J354:K354"/>
    <mergeCell ref="C353:E353"/>
    <mergeCell ref="H353:I353"/>
    <mergeCell ref="J353:K353"/>
    <mergeCell ref="J347:K347"/>
    <mergeCell ref="H341:I341"/>
    <mergeCell ref="C348:E348"/>
    <mergeCell ref="H348:I348"/>
    <mergeCell ref="J348:K348"/>
    <mergeCell ref="C347:E347"/>
    <mergeCell ref="H347:I347"/>
    <mergeCell ref="C346:E346"/>
    <mergeCell ref="H346:I346"/>
    <mergeCell ref="J346:K346"/>
    <mergeCell ref="J343:K343"/>
    <mergeCell ref="H343:I343"/>
    <mergeCell ref="C344:E344"/>
    <mergeCell ref="H344:I344"/>
    <mergeCell ref="J344:K344"/>
    <mergeCell ref="C343:E343"/>
    <mergeCell ref="A7:K7"/>
    <mergeCell ref="C345:E345"/>
    <mergeCell ref="H345:I345"/>
    <mergeCell ref="J345:K345"/>
    <mergeCell ref="J341:K341"/>
    <mergeCell ref="C342:E342"/>
    <mergeCell ref="H342:I342"/>
    <mergeCell ref="J342:K342"/>
    <mergeCell ref="C268:G268"/>
    <mergeCell ref="C341:E341"/>
    <mergeCell ref="I274:I275"/>
    <mergeCell ref="I366:K366"/>
    <mergeCell ref="C355:E355"/>
    <mergeCell ref="H355:I355"/>
    <mergeCell ref="J355:K355"/>
    <mergeCell ref="H358:I358"/>
    <mergeCell ref="J358:K358"/>
    <mergeCell ref="J357:K357"/>
    <mergeCell ref="J356:K356"/>
    <mergeCell ref="H357:I357"/>
  </mergeCells>
  <conditionalFormatting sqref="C45:C51 C57 C71:C76 C99:C107 C134:C136 C63:C64 C150 C162 C142:C146 C223:C224 C272 G276 G290 G301 G297 G305 D323:D326 C268:C269 C172:C175 C152:C158 C160 C114:C117 C215:C217 C230:C237 C243:C246 C252:D254 I276 I285:I305 G285:G286 D297:D313 I265:I266 C182:D192 L260:S266 K265:K266 C26:C30 C260:H266 J260:J266 C198:D208 C90:C95 C123:C129 C329:O329 C332 C34:C40 D316:D321">
    <cfRule type="expression" priority="1" dxfId="0" stopIfTrue="1">
      <formula>OR(VALUE($AL26)&lt;&gt;0,VALUE($AM26)&lt;&gt;0)</formula>
    </cfRule>
  </conditionalFormatting>
  <printOptions/>
  <pageMargins left="0.63" right="0.25" top="0.25" bottom="0.35" header="0.5" footer="0.12"/>
  <pageSetup firstPageNumber="1"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43"/>
  <sheetViews>
    <sheetView zoomScaleSheetLayoutView="100" workbookViewId="0" topLeftCell="A1">
      <selection activeCell="I29" sqref="I29"/>
    </sheetView>
  </sheetViews>
  <sheetFormatPr defaultColWidth="8.796875" defaultRowHeight="15"/>
  <cols>
    <col min="1" max="1" width="4" style="405" customWidth="1"/>
    <col min="2" max="2" width="0.4921875" style="405" customWidth="1"/>
    <col min="3" max="3" width="22.19921875" style="405" customWidth="1"/>
    <col min="4" max="4" width="1" style="405" customWidth="1"/>
    <col min="5" max="5" width="17.3984375" style="405" customWidth="1"/>
    <col min="6" max="6" width="1" style="405" customWidth="1"/>
    <col min="7" max="7" width="17.59765625" style="405" customWidth="1"/>
    <col min="8" max="8" width="1" style="405" customWidth="1"/>
    <col min="9" max="9" width="15.69921875" style="405" customWidth="1"/>
    <col min="10" max="10" width="1" style="405" customWidth="1"/>
    <col min="11" max="11" width="18.09765625" style="405" customWidth="1"/>
    <col min="12" max="12" width="1" style="405" hidden="1" customWidth="1"/>
    <col min="13" max="13" width="14.8984375" style="405" hidden="1" customWidth="1"/>
    <col min="14" max="14" width="1" style="405" customWidth="1"/>
    <col min="15" max="15" width="14" style="405" hidden="1" customWidth="1"/>
    <col min="16" max="16" width="0.6953125" style="405" hidden="1" customWidth="1"/>
    <col min="17" max="17" width="19" style="405" customWidth="1"/>
    <col min="18" max="18" width="19.59765625" style="405" customWidth="1"/>
    <col min="19" max="19" width="1.203125" style="405" customWidth="1"/>
    <col min="20" max="20" width="13.09765625" style="405" customWidth="1"/>
    <col min="21" max="21" width="1.203125" style="405" customWidth="1"/>
    <col min="22" max="22" width="13.59765625" style="405" customWidth="1"/>
    <col min="23" max="16384" width="9" style="405" customWidth="1"/>
  </cols>
  <sheetData>
    <row r="1" spans="1:21" s="373" customFormat="1" ht="21.75" customHeight="1">
      <c r="A1" s="199" t="str">
        <f>'BS&amp;PLcanam'!A1</f>
        <v>CÔNG TY CỔ PHẦN XÂY DỰNG NĂNG LƯỢNG</v>
      </c>
      <c r="B1" s="371"/>
      <c r="C1" s="371"/>
      <c r="D1" s="371"/>
      <c r="E1" s="372"/>
      <c r="F1" s="372"/>
      <c r="G1" s="372"/>
      <c r="H1" s="372"/>
      <c r="I1" s="372"/>
      <c r="J1" s="371"/>
      <c r="L1" s="374"/>
      <c r="M1" s="374"/>
      <c r="N1" s="374"/>
      <c r="O1" s="374"/>
      <c r="P1" s="374"/>
      <c r="Q1" s="375" t="s">
        <v>456</v>
      </c>
      <c r="R1" s="374"/>
      <c r="S1" s="374"/>
      <c r="T1" s="374"/>
      <c r="U1" s="374"/>
    </row>
    <row r="2" spans="1:21" s="373" customFormat="1" ht="16.5" customHeight="1">
      <c r="A2" s="376" t="str">
        <f>'BS&amp;PLcanam'!A2</f>
        <v>Tầng 7, tòa nhà Sông Đà, đường Phạm Hùng, Mỹ Đình, Từ Liêm, Hà Nội</v>
      </c>
      <c r="B2" s="377"/>
      <c r="C2" s="377"/>
      <c r="D2" s="378"/>
      <c r="E2" s="378"/>
      <c r="F2" s="378"/>
      <c r="G2" s="378"/>
      <c r="H2" s="378"/>
      <c r="J2" s="379"/>
      <c r="K2" s="379"/>
      <c r="L2" s="379"/>
      <c r="M2" s="379"/>
      <c r="N2" s="379"/>
      <c r="O2" s="379"/>
      <c r="P2" s="379"/>
      <c r="Q2" s="380" t="s">
        <v>537</v>
      </c>
      <c r="R2" s="374"/>
      <c r="S2" s="374"/>
      <c r="T2" s="374"/>
      <c r="U2" s="374"/>
    </row>
    <row r="3" spans="1:21" s="373" customFormat="1" ht="16.5" customHeight="1">
      <c r="A3" s="381" t="str">
        <f>'BS&amp;PLcanam'!A3</f>
        <v>Tel: (84 4) 3 7 684 111                             Fax: (84 4) 3 7 684 644</v>
      </c>
      <c r="B3" s="381"/>
      <c r="C3" s="381"/>
      <c r="D3" s="382"/>
      <c r="E3" s="382"/>
      <c r="F3" s="382"/>
      <c r="G3" s="382"/>
      <c r="H3" s="382"/>
      <c r="I3" s="382"/>
      <c r="J3" s="382"/>
      <c r="K3" s="382"/>
      <c r="L3" s="382"/>
      <c r="M3" s="382"/>
      <c r="N3" s="382"/>
      <c r="O3" s="383"/>
      <c r="P3" s="383"/>
      <c r="Q3" s="383"/>
      <c r="R3" s="374"/>
      <c r="S3" s="374"/>
      <c r="T3" s="374"/>
      <c r="U3" s="374"/>
    </row>
    <row r="4" spans="1:23" s="191" customFormat="1" ht="6.75" customHeight="1">
      <c r="A4" s="384"/>
      <c r="B4" s="385"/>
      <c r="D4" s="193"/>
      <c r="E4" s="193"/>
      <c r="F4" s="193"/>
      <c r="G4" s="193"/>
      <c r="H4" s="193"/>
      <c r="I4" s="193"/>
      <c r="J4" s="193"/>
      <c r="K4" s="193"/>
      <c r="L4" s="193"/>
      <c r="M4" s="193"/>
      <c r="N4" s="193"/>
      <c r="R4" s="374"/>
      <c r="S4" s="374"/>
      <c r="T4" s="374"/>
      <c r="U4" s="374"/>
      <c r="V4" s="373"/>
      <c r="W4" s="373"/>
    </row>
    <row r="5" spans="1:23" s="191" customFormat="1" ht="17.25" customHeight="1">
      <c r="A5" s="384"/>
      <c r="B5" s="385"/>
      <c r="D5" s="193"/>
      <c r="E5" s="193"/>
      <c r="F5" s="193"/>
      <c r="G5" s="193"/>
      <c r="H5" s="193"/>
      <c r="I5" s="193"/>
      <c r="J5" s="193"/>
      <c r="K5" s="193"/>
      <c r="L5" s="193"/>
      <c r="M5" s="193"/>
      <c r="N5" s="193"/>
      <c r="Q5" s="95" t="s">
        <v>223</v>
      </c>
      <c r="R5" s="374"/>
      <c r="S5" s="374"/>
      <c r="T5" s="374"/>
      <c r="U5" s="374"/>
      <c r="V5" s="373"/>
      <c r="W5" s="373"/>
    </row>
    <row r="6" spans="1:23" s="191" customFormat="1" ht="18" customHeight="1">
      <c r="A6" s="633" t="s">
        <v>448</v>
      </c>
      <c r="B6" s="633"/>
      <c r="C6" s="633"/>
      <c r="D6" s="633"/>
      <c r="E6" s="633"/>
      <c r="F6" s="633"/>
      <c r="G6" s="633"/>
      <c r="H6" s="633"/>
      <c r="I6" s="633"/>
      <c r="J6" s="633"/>
      <c r="K6" s="633"/>
      <c r="L6" s="633"/>
      <c r="M6" s="633"/>
      <c r="N6" s="633"/>
      <c r="O6" s="633"/>
      <c r="P6" s="633"/>
      <c r="Q6" s="633"/>
      <c r="R6" s="374"/>
      <c r="S6" s="374"/>
      <c r="T6" s="374"/>
      <c r="U6" s="374"/>
      <c r="V6" s="373"/>
      <c r="W6" s="373"/>
    </row>
    <row r="7" spans="1:23" s="191" customFormat="1" ht="16.5" customHeight="1">
      <c r="A7" s="634" t="s">
        <v>537</v>
      </c>
      <c r="B7" s="634"/>
      <c r="C7" s="634"/>
      <c r="D7" s="634"/>
      <c r="E7" s="634"/>
      <c r="F7" s="634"/>
      <c r="G7" s="634"/>
      <c r="H7" s="634"/>
      <c r="I7" s="634"/>
      <c r="J7" s="634"/>
      <c r="K7" s="634"/>
      <c r="L7" s="634"/>
      <c r="M7" s="634"/>
      <c r="N7" s="634"/>
      <c r="O7" s="634"/>
      <c r="P7" s="634"/>
      <c r="Q7" s="634"/>
      <c r="R7" s="374"/>
      <c r="S7" s="374"/>
      <c r="T7" s="374"/>
      <c r="U7" s="374"/>
      <c r="V7" s="373"/>
      <c r="W7" s="373"/>
    </row>
    <row r="8" spans="1:23" s="191" customFormat="1" ht="15" customHeight="1">
      <c r="A8" s="635" t="s">
        <v>225</v>
      </c>
      <c r="B8" s="635"/>
      <c r="C8" s="635"/>
      <c r="D8" s="635"/>
      <c r="E8" s="635"/>
      <c r="F8" s="635"/>
      <c r="G8" s="635"/>
      <c r="H8" s="635"/>
      <c r="I8" s="635"/>
      <c r="J8" s="635"/>
      <c r="K8" s="635"/>
      <c r="L8" s="635"/>
      <c r="M8" s="635"/>
      <c r="N8" s="635"/>
      <c r="O8" s="635"/>
      <c r="P8" s="635"/>
      <c r="Q8" s="635"/>
      <c r="R8" s="374"/>
      <c r="S8" s="374"/>
      <c r="T8" s="374"/>
      <c r="U8" s="374"/>
      <c r="V8" s="373"/>
      <c r="W8" s="373"/>
    </row>
    <row r="9" spans="1:23" s="191" customFormat="1" ht="14.25" customHeight="1">
      <c r="A9" s="384"/>
      <c r="B9" s="385"/>
      <c r="D9" s="193"/>
      <c r="E9" s="193"/>
      <c r="F9" s="193"/>
      <c r="G9" s="193"/>
      <c r="H9" s="193"/>
      <c r="I9" s="193"/>
      <c r="J9" s="193"/>
      <c r="K9" s="193"/>
      <c r="L9" s="193"/>
      <c r="M9" s="193"/>
      <c r="N9" s="193"/>
      <c r="R9" s="374"/>
      <c r="S9" s="374"/>
      <c r="T9" s="374"/>
      <c r="U9" s="374"/>
      <c r="V9" s="373"/>
      <c r="W9" s="373"/>
    </row>
    <row r="10" spans="1:23" s="191" customFormat="1" ht="18" customHeight="1">
      <c r="A10" s="386" t="s">
        <v>256</v>
      </c>
      <c r="B10" s="385"/>
      <c r="C10" s="385" t="s">
        <v>282</v>
      </c>
      <c r="D10" s="193"/>
      <c r="E10" s="193"/>
      <c r="F10" s="193"/>
      <c r="G10" s="193"/>
      <c r="H10" s="193"/>
      <c r="I10" s="193"/>
      <c r="J10" s="193"/>
      <c r="K10" s="193"/>
      <c r="L10" s="193"/>
      <c r="M10" s="193"/>
      <c r="N10" s="193"/>
      <c r="R10" s="374"/>
      <c r="S10" s="374"/>
      <c r="T10" s="374"/>
      <c r="U10" s="374"/>
      <c r="V10" s="373"/>
      <c r="W10" s="373"/>
    </row>
    <row r="11" spans="1:23" s="388" customFormat="1" ht="6" customHeight="1">
      <c r="A11" s="384"/>
      <c r="B11" s="387"/>
      <c r="D11" s="389"/>
      <c r="E11" s="389"/>
      <c r="F11" s="389"/>
      <c r="G11" s="389"/>
      <c r="H11" s="389"/>
      <c r="I11" s="389"/>
      <c r="J11" s="389"/>
      <c r="K11" s="389"/>
      <c r="L11" s="389"/>
      <c r="M11" s="389"/>
      <c r="N11" s="389"/>
      <c r="R11" s="374"/>
      <c r="S11" s="374"/>
      <c r="T11" s="374"/>
      <c r="U11" s="374"/>
      <c r="V11" s="373"/>
      <c r="W11" s="373"/>
    </row>
    <row r="12" spans="1:14" s="191" customFormat="1" ht="18" customHeight="1">
      <c r="A12" s="386" t="s">
        <v>31</v>
      </c>
      <c r="B12" s="385"/>
      <c r="C12" s="390" t="s">
        <v>273</v>
      </c>
      <c r="D12" s="193"/>
      <c r="E12" s="193"/>
      <c r="F12" s="193"/>
      <c r="G12" s="193"/>
      <c r="H12" s="193"/>
      <c r="I12" s="193"/>
      <c r="J12" s="193"/>
      <c r="K12" s="193"/>
      <c r="L12" s="193"/>
      <c r="M12" s="193"/>
      <c r="N12" s="193"/>
    </row>
    <row r="13" spans="1:17" s="388" customFormat="1" ht="18" customHeight="1">
      <c r="A13" s="384"/>
      <c r="B13" s="387"/>
      <c r="C13" s="390"/>
      <c r="D13" s="389"/>
      <c r="E13" s="389"/>
      <c r="F13" s="389"/>
      <c r="G13" s="389"/>
      <c r="H13" s="389"/>
      <c r="I13" s="389"/>
      <c r="J13" s="389"/>
      <c r="K13" s="638" t="s">
        <v>307</v>
      </c>
      <c r="L13" s="638"/>
      <c r="M13" s="638"/>
      <c r="N13" s="638"/>
      <c r="O13" s="638"/>
      <c r="P13" s="638"/>
      <c r="Q13" s="638"/>
    </row>
    <row r="14" spans="1:17" s="392" customFormat="1" ht="24.75" customHeight="1">
      <c r="A14" s="370"/>
      <c r="B14" s="391"/>
      <c r="C14" s="368"/>
      <c r="E14" s="368" t="s">
        <v>463</v>
      </c>
      <c r="G14" s="368" t="s">
        <v>468</v>
      </c>
      <c r="I14" s="368" t="s">
        <v>470</v>
      </c>
      <c r="J14" s="393"/>
      <c r="K14" s="368" t="s">
        <v>465</v>
      </c>
      <c r="L14" s="393"/>
      <c r="M14" s="368" t="s">
        <v>453</v>
      </c>
      <c r="N14" s="393"/>
      <c r="O14" s="368" t="s">
        <v>451</v>
      </c>
      <c r="Q14" s="636" t="s">
        <v>229</v>
      </c>
    </row>
    <row r="15" spans="5:17" s="225" customFormat="1" ht="15">
      <c r="E15" s="394" t="s">
        <v>464</v>
      </c>
      <c r="G15" s="394" t="s">
        <v>469</v>
      </c>
      <c r="I15" s="394" t="s">
        <v>471</v>
      </c>
      <c r="K15" s="394" t="s">
        <v>492</v>
      </c>
      <c r="Q15" s="637"/>
    </row>
    <row r="16" spans="1:22" s="191" customFormat="1" ht="6" customHeight="1">
      <c r="A16" s="395"/>
      <c r="C16" s="396"/>
      <c r="G16" s="370"/>
      <c r="I16" s="397"/>
      <c r="J16" s="397"/>
      <c r="K16" s="397"/>
      <c r="L16" s="397"/>
      <c r="M16" s="397"/>
      <c r="N16" s="397"/>
      <c r="Q16" s="398"/>
      <c r="R16" s="243"/>
      <c r="S16" s="243"/>
      <c r="T16" s="243"/>
      <c r="U16" s="243"/>
      <c r="V16" s="243"/>
    </row>
    <row r="17" spans="1:22" s="400" customFormat="1" ht="16.5" customHeight="1" hidden="1">
      <c r="A17" s="399"/>
      <c r="C17" s="400" t="s">
        <v>129</v>
      </c>
      <c r="E17" s="400">
        <v>8109000000</v>
      </c>
      <c r="G17" s="401">
        <v>0</v>
      </c>
      <c r="H17" s="401"/>
      <c r="I17" s="401">
        <v>0</v>
      </c>
      <c r="K17" s="400">
        <v>1001452582</v>
      </c>
      <c r="Q17" s="400">
        <f>K17+I17+G17+E17</f>
        <v>9110452582</v>
      </c>
      <c r="R17" s="228"/>
      <c r="S17" s="228"/>
      <c r="T17" s="228"/>
      <c r="U17" s="228"/>
      <c r="V17" s="228"/>
    </row>
    <row r="18" spans="1:22" s="403" customFormat="1" ht="16.5" customHeight="1" hidden="1">
      <c r="A18" s="402"/>
      <c r="B18" s="390"/>
      <c r="C18" s="191" t="s">
        <v>402</v>
      </c>
      <c r="D18" s="401"/>
      <c r="E18" s="193">
        <v>11891000000</v>
      </c>
      <c r="F18" s="193"/>
      <c r="G18" s="400">
        <v>0</v>
      </c>
      <c r="H18" s="193"/>
      <c r="I18" s="400">
        <v>0</v>
      </c>
      <c r="J18" s="193"/>
      <c r="K18" s="193">
        <v>0</v>
      </c>
      <c r="L18" s="193"/>
      <c r="M18" s="193"/>
      <c r="N18" s="401"/>
      <c r="O18" s="401"/>
      <c r="P18" s="401"/>
      <c r="Q18" s="400">
        <f>K18+I18+G18+E18</f>
        <v>11891000000</v>
      </c>
      <c r="R18" s="84"/>
      <c r="S18" s="243"/>
      <c r="T18" s="243"/>
      <c r="U18" s="243"/>
      <c r="V18" s="243"/>
    </row>
    <row r="19" spans="1:22" s="403" customFormat="1" ht="16.5" customHeight="1" hidden="1">
      <c r="A19" s="402"/>
      <c r="B19" s="390"/>
      <c r="C19" s="191" t="s">
        <v>403</v>
      </c>
      <c r="D19" s="193"/>
      <c r="E19" s="193"/>
      <c r="F19" s="193"/>
      <c r="G19" s="400">
        <v>0</v>
      </c>
      <c r="H19" s="193"/>
      <c r="I19" s="400">
        <v>0</v>
      </c>
      <c r="J19" s="193"/>
      <c r="K19" s="193">
        <v>3316352880</v>
      </c>
      <c r="L19" s="193"/>
      <c r="M19" s="193">
        <v>0</v>
      </c>
      <c r="N19" s="193"/>
      <c r="O19" s="193">
        <v>0</v>
      </c>
      <c r="P19" s="193"/>
      <c r="Q19" s="400">
        <f>M19+K19+I19+G19+E19</f>
        <v>3316352880</v>
      </c>
      <c r="R19" s="84"/>
      <c r="S19" s="243"/>
      <c r="T19" s="243"/>
      <c r="U19" s="243"/>
      <c r="V19" s="243"/>
    </row>
    <row r="20" spans="1:22" s="403" customFormat="1" ht="16.5" customHeight="1" hidden="1">
      <c r="A20" s="402"/>
      <c r="B20" s="390"/>
      <c r="C20" s="191" t="s">
        <v>404</v>
      </c>
      <c r="D20" s="193"/>
      <c r="E20" s="193">
        <v>0</v>
      </c>
      <c r="F20" s="193"/>
      <c r="G20" s="400">
        <v>0</v>
      </c>
      <c r="H20" s="193"/>
      <c r="I20" s="400">
        <v>0</v>
      </c>
      <c r="J20" s="193"/>
      <c r="K20" s="193">
        <v>0</v>
      </c>
      <c r="L20" s="193"/>
      <c r="M20" s="193">
        <v>0</v>
      </c>
      <c r="N20" s="193"/>
      <c r="O20" s="193">
        <v>0</v>
      </c>
      <c r="P20" s="193"/>
      <c r="Q20" s="400">
        <f>M20+K20+I20+G20+E20</f>
        <v>0</v>
      </c>
      <c r="R20" s="84"/>
      <c r="S20" s="243"/>
      <c r="T20" s="243"/>
      <c r="U20" s="243"/>
      <c r="V20" s="243"/>
    </row>
    <row r="21" spans="1:18" s="403" customFormat="1" ht="16.5" customHeight="1" hidden="1">
      <c r="A21" s="402"/>
      <c r="B21" s="390"/>
      <c r="C21" s="191" t="s">
        <v>405</v>
      </c>
      <c r="D21" s="193"/>
      <c r="E21" s="193">
        <v>0</v>
      </c>
      <c r="F21" s="193"/>
      <c r="G21" s="400">
        <v>0</v>
      </c>
      <c r="H21" s="193"/>
      <c r="I21" s="400">
        <v>0</v>
      </c>
      <c r="J21" s="193"/>
      <c r="K21" s="193">
        <v>0</v>
      </c>
      <c r="L21" s="193"/>
      <c r="M21" s="193">
        <v>0</v>
      </c>
      <c r="N21" s="193"/>
      <c r="O21" s="193">
        <v>0</v>
      </c>
      <c r="P21" s="193"/>
      <c r="Q21" s="400">
        <f>M21+K21+I21+G21+E21</f>
        <v>0</v>
      </c>
      <c r="R21" s="404"/>
    </row>
    <row r="22" spans="1:17" s="403" customFormat="1" ht="16.5" customHeight="1" hidden="1">
      <c r="A22" s="402"/>
      <c r="B22" s="390"/>
      <c r="C22" s="191" t="s">
        <v>406</v>
      </c>
      <c r="D22" s="193"/>
      <c r="E22" s="193"/>
      <c r="F22" s="193"/>
      <c r="G22" s="400">
        <v>0</v>
      </c>
      <c r="H22" s="193"/>
      <c r="I22" s="400">
        <v>0</v>
      </c>
      <c r="J22" s="193"/>
      <c r="K22" s="193">
        <v>0</v>
      </c>
      <c r="L22" s="193"/>
      <c r="M22" s="193">
        <v>0</v>
      </c>
      <c r="N22" s="193"/>
      <c r="O22" s="193">
        <v>0</v>
      </c>
      <c r="P22" s="193"/>
      <c r="Q22" s="400">
        <f>M22+K22+I22+G22+E22</f>
        <v>0</v>
      </c>
    </row>
    <row r="23" spans="1:17" s="403" customFormat="1" ht="16.5" customHeight="1" hidden="1">
      <c r="A23" s="402"/>
      <c r="B23" s="390"/>
      <c r="C23" s="191" t="s">
        <v>407</v>
      </c>
      <c r="D23" s="193"/>
      <c r="E23" s="193">
        <v>0</v>
      </c>
      <c r="F23" s="193"/>
      <c r="G23" s="400">
        <v>0</v>
      </c>
      <c r="H23" s="193"/>
      <c r="I23" s="400">
        <v>0</v>
      </c>
      <c r="J23" s="193"/>
      <c r="K23" s="193">
        <f>-849996757</f>
        <v>-849996757</v>
      </c>
      <c r="L23" s="193"/>
      <c r="M23" s="193">
        <v>0</v>
      </c>
      <c r="N23" s="193"/>
      <c r="O23" s="193">
        <v>0</v>
      </c>
      <c r="P23" s="193"/>
      <c r="Q23" s="400">
        <f>M23+K23+I23+G23+E23</f>
        <v>-849996757</v>
      </c>
    </row>
    <row r="24" spans="3:17" ht="6" customHeight="1">
      <c r="C24" s="406"/>
      <c r="D24" s="193"/>
      <c r="E24" s="193"/>
      <c r="F24" s="193"/>
      <c r="G24" s="193"/>
      <c r="H24" s="193"/>
      <c r="I24" s="193"/>
      <c r="J24" s="193"/>
      <c r="K24" s="193"/>
      <c r="L24" s="193"/>
      <c r="M24" s="193"/>
      <c r="N24" s="193"/>
      <c r="O24" s="193"/>
      <c r="P24" s="193"/>
      <c r="Q24" s="193"/>
    </row>
    <row r="25" spans="3:18" s="270" customFormat="1" ht="16.5" customHeight="1">
      <c r="C25" s="385" t="s">
        <v>515</v>
      </c>
      <c r="D25" s="400"/>
      <c r="E25" s="400">
        <v>32500000000</v>
      </c>
      <c r="F25" s="400">
        <v>0</v>
      </c>
      <c r="G25" s="400">
        <v>3103800000</v>
      </c>
      <c r="H25" s="400">
        <f>SUM(H17:H23)</f>
        <v>0</v>
      </c>
      <c r="I25" s="400">
        <v>175669647</v>
      </c>
      <c r="J25" s="400"/>
      <c r="K25" s="400">
        <v>3867616173</v>
      </c>
      <c r="L25" s="400"/>
      <c r="M25" s="400"/>
      <c r="N25" s="400"/>
      <c r="O25" s="400"/>
      <c r="P25" s="400"/>
      <c r="Q25" s="400">
        <f>+K25+I25+G25+E25</f>
        <v>39647085820</v>
      </c>
      <c r="R25" s="407"/>
    </row>
    <row r="26" spans="3:18" ht="16.5" customHeight="1">
      <c r="C26" s="191" t="s">
        <v>489</v>
      </c>
      <c r="D26" s="401"/>
      <c r="E26" s="193"/>
      <c r="F26" s="193"/>
      <c r="G26" s="193"/>
      <c r="H26" s="193"/>
      <c r="I26" s="400">
        <v>0</v>
      </c>
      <c r="J26" s="193"/>
      <c r="K26" s="193">
        <v>0</v>
      </c>
      <c r="L26" s="193"/>
      <c r="M26" s="193"/>
      <c r="N26" s="401"/>
      <c r="O26" s="401"/>
      <c r="P26" s="401"/>
      <c r="Q26" s="400">
        <f aca="true" t="shared" si="0" ref="Q26:Q31">SUM(E26:K26)</f>
        <v>0</v>
      </c>
      <c r="R26" s="408"/>
    </row>
    <row r="27" spans="3:17" ht="16.5" customHeight="1">
      <c r="C27" s="191" t="s">
        <v>0</v>
      </c>
      <c r="D27" s="193"/>
      <c r="E27" s="193">
        <v>0</v>
      </c>
      <c r="F27" s="193"/>
      <c r="G27" s="400">
        <v>0</v>
      </c>
      <c r="H27" s="193"/>
      <c r="I27" s="400"/>
      <c r="J27" s="193"/>
      <c r="K27" s="193">
        <v>2200037998</v>
      </c>
      <c r="L27" s="193"/>
      <c r="M27" s="193">
        <v>0</v>
      </c>
      <c r="N27" s="193"/>
      <c r="O27" s="193">
        <v>128436934</v>
      </c>
      <c r="P27" s="193"/>
      <c r="Q27" s="400">
        <f t="shared" si="0"/>
        <v>2200037998</v>
      </c>
    </row>
    <row r="28" spans="3:17" ht="16.5" customHeight="1">
      <c r="C28" s="191" t="s">
        <v>404</v>
      </c>
      <c r="D28" s="193"/>
      <c r="E28" s="193">
        <v>0</v>
      </c>
      <c r="F28" s="193"/>
      <c r="G28" s="400">
        <v>0</v>
      </c>
      <c r="H28" s="193"/>
      <c r="I28" s="400">
        <v>0</v>
      </c>
      <c r="J28" s="193"/>
      <c r="K28" s="193"/>
      <c r="L28" s="193"/>
      <c r="M28" s="193">
        <v>0</v>
      </c>
      <c r="N28" s="193"/>
      <c r="O28" s="193">
        <v>0</v>
      </c>
      <c r="P28" s="193"/>
      <c r="Q28" s="400">
        <f t="shared" si="0"/>
        <v>0</v>
      </c>
    </row>
    <row r="29" spans="3:17" ht="16.5" customHeight="1">
      <c r="C29" s="191" t="s">
        <v>490</v>
      </c>
      <c r="D29" s="193"/>
      <c r="E29" s="193">
        <v>0</v>
      </c>
      <c r="F29" s="193"/>
      <c r="G29" s="400">
        <v>0</v>
      </c>
      <c r="H29" s="193"/>
      <c r="I29" s="400"/>
      <c r="J29" s="193"/>
      <c r="K29" s="193"/>
      <c r="L29" s="193"/>
      <c r="M29" s="193">
        <v>0</v>
      </c>
      <c r="N29" s="193"/>
      <c r="O29" s="193">
        <v>0</v>
      </c>
      <c r="P29" s="193"/>
      <c r="Q29" s="400">
        <f t="shared" si="0"/>
        <v>0</v>
      </c>
    </row>
    <row r="30" spans="3:17" ht="16.5" customHeight="1">
      <c r="C30" s="191" t="s">
        <v>491</v>
      </c>
      <c r="D30" s="193"/>
      <c r="E30" s="193">
        <v>0</v>
      </c>
      <c r="F30" s="193"/>
      <c r="G30" s="400">
        <v>0</v>
      </c>
      <c r="H30" s="193"/>
      <c r="I30" s="400">
        <v>0</v>
      </c>
      <c r="J30" s="193"/>
      <c r="K30" s="193">
        <v>0</v>
      </c>
      <c r="L30" s="193"/>
      <c r="M30" s="193">
        <v>0</v>
      </c>
      <c r="N30" s="193"/>
      <c r="O30" s="193">
        <v>0</v>
      </c>
      <c r="P30" s="193"/>
      <c r="Q30" s="400">
        <f t="shared" si="0"/>
        <v>0</v>
      </c>
    </row>
    <row r="31" spans="3:18" ht="16.5" customHeight="1">
      <c r="C31" s="191" t="s">
        <v>407</v>
      </c>
      <c r="D31" s="401"/>
      <c r="E31" s="193">
        <v>0</v>
      </c>
      <c r="F31" s="193"/>
      <c r="G31" s="400">
        <v>0</v>
      </c>
      <c r="H31" s="193"/>
      <c r="I31" s="400">
        <v>0</v>
      </c>
      <c r="J31" s="193"/>
      <c r="K31" s="193">
        <v>-425622119</v>
      </c>
      <c r="L31" s="193"/>
      <c r="M31" s="193">
        <f>M26+M27-M28-M29-M30</f>
        <v>0</v>
      </c>
      <c r="N31" s="401"/>
      <c r="O31" s="401">
        <f>O26+O27-O28-O29-O30</f>
        <v>128436934</v>
      </c>
      <c r="P31" s="401"/>
      <c r="Q31" s="400">
        <f t="shared" si="0"/>
        <v>-425622119</v>
      </c>
      <c r="R31" s="408"/>
    </row>
    <row r="32" spans="3:17" ht="6" customHeight="1">
      <c r="C32" s="406"/>
      <c r="D32" s="193"/>
      <c r="E32" s="193"/>
      <c r="F32" s="193"/>
      <c r="G32" s="193"/>
      <c r="H32" s="193"/>
      <c r="I32" s="193"/>
      <c r="J32" s="193"/>
      <c r="K32" s="193"/>
      <c r="L32" s="193"/>
      <c r="M32" s="193"/>
      <c r="N32" s="193"/>
      <c r="O32" s="193"/>
      <c r="P32" s="193"/>
      <c r="Q32" s="193"/>
    </row>
    <row r="33" spans="3:20" s="266" customFormat="1" ht="16.5" customHeight="1">
      <c r="C33" s="390" t="s">
        <v>531</v>
      </c>
      <c r="D33" s="404"/>
      <c r="E33" s="401">
        <f>SUM(E25:E31)</f>
        <v>32500000000</v>
      </c>
      <c r="F33" s="401"/>
      <c r="G33" s="401">
        <f>SUM(G25:G31)</f>
        <v>3103800000</v>
      </c>
      <c r="H33" s="401"/>
      <c r="I33" s="401">
        <f>I25+I26+I27+I28-I29-I30-I31</f>
        <v>175669647</v>
      </c>
      <c r="J33" s="401"/>
      <c r="K33" s="401">
        <f>'BS&amp;PLcanam'!G143</f>
        <v>6564725561</v>
      </c>
      <c r="L33" s="401"/>
      <c r="M33" s="401"/>
      <c r="N33" s="401"/>
      <c r="O33" s="401"/>
      <c r="P33" s="401"/>
      <c r="Q33" s="401">
        <f>E33+G33+I33+K33</f>
        <v>42344195208</v>
      </c>
      <c r="R33" s="409"/>
      <c r="T33" s="409"/>
    </row>
    <row r="34" spans="3:18" ht="16.5" customHeight="1" hidden="1">
      <c r="C34" s="191" t="s">
        <v>408</v>
      </c>
      <c r="D34" s="401"/>
      <c r="E34" s="193">
        <v>0</v>
      </c>
      <c r="F34" s="193"/>
      <c r="G34" s="400">
        <v>0</v>
      </c>
      <c r="H34" s="193"/>
      <c r="I34" s="400">
        <v>0</v>
      </c>
      <c r="J34" s="193"/>
      <c r="K34" s="193">
        <v>0</v>
      </c>
      <c r="L34" s="193"/>
      <c r="M34" s="193"/>
      <c r="N34" s="401"/>
      <c r="O34" s="401"/>
      <c r="P34" s="401"/>
      <c r="Q34" s="400">
        <f aca="true" t="shared" si="1" ref="Q34:Q39">SUM(E34:K34)</f>
        <v>0</v>
      </c>
      <c r="R34" s="408"/>
    </row>
    <row r="35" spans="3:17" ht="16.5" customHeight="1" hidden="1">
      <c r="C35" s="191" t="s">
        <v>409</v>
      </c>
      <c r="D35" s="193"/>
      <c r="E35" s="193">
        <v>0</v>
      </c>
      <c r="F35" s="193"/>
      <c r="G35" s="400">
        <v>0</v>
      </c>
      <c r="H35" s="193"/>
      <c r="I35" s="400">
        <v>0</v>
      </c>
      <c r="J35" s="193"/>
      <c r="K35" s="193"/>
      <c r="L35" s="193"/>
      <c r="M35" s="193">
        <v>0</v>
      </c>
      <c r="N35" s="193"/>
      <c r="O35" s="193">
        <v>128436934</v>
      </c>
      <c r="P35" s="193"/>
      <c r="Q35" s="400">
        <f t="shared" si="1"/>
        <v>0</v>
      </c>
    </row>
    <row r="36" spans="3:17" ht="16.5" customHeight="1" hidden="1">
      <c r="C36" s="191" t="s">
        <v>404</v>
      </c>
      <c r="D36" s="193"/>
      <c r="E36" s="193">
        <v>0</v>
      </c>
      <c r="F36" s="193"/>
      <c r="G36" s="400">
        <v>0</v>
      </c>
      <c r="H36" s="193"/>
      <c r="I36" s="400">
        <v>0</v>
      </c>
      <c r="J36" s="193"/>
      <c r="K36" s="193"/>
      <c r="L36" s="193"/>
      <c r="M36" s="193">
        <v>0</v>
      </c>
      <c r="N36" s="193"/>
      <c r="O36" s="193">
        <v>0</v>
      </c>
      <c r="P36" s="193"/>
      <c r="Q36" s="400">
        <f t="shared" si="1"/>
        <v>0</v>
      </c>
    </row>
    <row r="37" spans="3:17" ht="16.5" customHeight="1" hidden="1">
      <c r="C37" s="191" t="s">
        <v>410</v>
      </c>
      <c r="D37" s="193"/>
      <c r="E37" s="193">
        <v>0</v>
      </c>
      <c r="F37" s="193"/>
      <c r="G37" s="400">
        <v>0</v>
      </c>
      <c r="H37" s="193"/>
      <c r="I37" s="400">
        <v>0</v>
      </c>
      <c r="J37" s="193"/>
      <c r="K37" s="193">
        <v>0</v>
      </c>
      <c r="L37" s="193"/>
      <c r="M37" s="193">
        <v>0</v>
      </c>
      <c r="N37" s="193"/>
      <c r="O37" s="193">
        <v>0</v>
      </c>
      <c r="P37" s="193"/>
      <c r="Q37" s="400">
        <f t="shared" si="1"/>
        <v>0</v>
      </c>
    </row>
    <row r="38" spans="3:17" ht="16.5" customHeight="1" hidden="1">
      <c r="C38" s="191" t="s">
        <v>411</v>
      </c>
      <c r="D38" s="193"/>
      <c r="E38" s="193">
        <v>0</v>
      </c>
      <c r="F38" s="193"/>
      <c r="G38" s="400">
        <v>0</v>
      </c>
      <c r="H38" s="193"/>
      <c r="I38" s="400">
        <v>0</v>
      </c>
      <c r="J38" s="193"/>
      <c r="K38" s="193">
        <v>0</v>
      </c>
      <c r="L38" s="193"/>
      <c r="M38" s="193">
        <v>0</v>
      </c>
      <c r="N38" s="193"/>
      <c r="O38" s="193">
        <v>0</v>
      </c>
      <c r="P38" s="193"/>
      <c r="Q38" s="400">
        <f t="shared" si="1"/>
        <v>0</v>
      </c>
    </row>
    <row r="39" spans="3:18" ht="16.5" customHeight="1" hidden="1">
      <c r="C39" s="191" t="s">
        <v>407</v>
      </c>
      <c r="D39" s="401"/>
      <c r="E39" s="193">
        <v>0</v>
      </c>
      <c r="F39" s="193"/>
      <c r="G39" s="400">
        <v>0</v>
      </c>
      <c r="H39" s="193"/>
      <c r="I39" s="400">
        <v>0</v>
      </c>
      <c r="J39" s="193"/>
      <c r="K39" s="193"/>
      <c r="L39" s="193"/>
      <c r="M39" s="193">
        <f>M34+M35-M36-M37-M38</f>
        <v>0</v>
      </c>
      <c r="N39" s="401"/>
      <c r="O39" s="401">
        <f>O34+O35-O36-O37-O38</f>
        <v>128436934</v>
      </c>
      <c r="P39" s="401"/>
      <c r="Q39" s="400">
        <f t="shared" si="1"/>
        <v>0</v>
      </c>
      <c r="R39" s="408"/>
    </row>
    <row r="40" spans="3:18" s="266" customFormat="1" ht="16.5" customHeight="1" hidden="1">
      <c r="C40" s="390" t="s">
        <v>54</v>
      </c>
      <c r="D40" s="404"/>
      <c r="E40" s="401">
        <f>SUM(E32:E39)</f>
        <v>32500000000</v>
      </c>
      <c r="F40" s="401">
        <f aca="true" t="shared" si="2" ref="F40:K40">SUM(F32:F39)</f>
        <v>0</v>
      </c>
      <c r="G40" s="401">
        <f t="shared" si="2"/>
        <v>3103800000</v>
      </c>
      <c r="H40" s="401">
        <f t="shared" si="2"/>
        <v>0</v>
      </c>
      <c r="I40" s="401">
        <f t="shared" si="2"/>
        <v>175669647</v>
      </c>
      <c r="J40" s="401">
        <f t="shared" si="2"/>
        <v>0</v>
      </c>
      <c r="K40" s="401">
        <f t="shared" si="2"/>
        <v>6564725561</v>
      </c>
      <c r="L40" s="401"/>
      <c r="M40" s="401"/>
      <c r="N40" s="401"/>
      <c r="O40" s="401"/>
      <c r="P40" s="401"/>
      <c r="Q40" s="401">
        <f>SUM(Q32:Q39)</f>
        <v>42344195208</v>
      </c>
      <c r="R40" s="409"/>
    </row>
    <row r="41" ht="15">
      <c r="R41" s="408"/>
    </row>
    <row r="43" ht="15">
      <c r="K43" s="408"/>
    </row>
  </sheetData>
  <mergeCells count="5">
    <mergeCell ref="A6:Q6"/>
    <mergeCell ref="A7:Q7"/>
    <mergeCell ref="A8:Q8"/>
    <mergeCell ref="Q14:Q15"/>
    <mergeCell ref="K13:Q13"/>
  </mergeCells>
  <printOptions/>
  <pageMargins left="0.92" right="0.5" top="0.69" bottom="0.2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E40"/>
  <sheetViews>
    <sheetView zoomScaleSheetLayoutView="100" workbookViewId="0" topLeftCell="A1">
      <selection activeCell="C19" sqref="C19"/>
    </sheetView>
  </sheetViews>
  <sheetFormatPr defaultColWidth="8.796875" defaultRowHeight="15"/>
  <cols>
    <col min="1" max="1" width="3.69921875" style="0" customWidth="1"/>
    <col min="2" max="2" width="0.4921875" style="0" customWidth="1"/>
    <col min="3" max="3" width="36.3984375" style="0" customWidth="1"/>
    <col min="4" max="4" width="1" style="0" customWidth="1"/>
    <col min="5" max="5" width="12.19921875" style="0" hidden="1" customWidth="1"/>
    <col min="6" max="6" width="1" style="0" hidden="1" customWidth="1"/>
    <col min="7" max="7" width="18.8984375" style="0" customWidth="1"/>
    <col min="8" max="8" width="0.59375" style="0" customWidth="1"/>
    <col min="9" max="9" width="18.69921875" style="0" customWidth="1"/>
    <col min="10" max="10" width="0.59375" style="0" customWidth="1"/>
    <col min="11" max="11" width="15.59765625" style="0" customWidth="1"/>
    <col min="12" max="12" width="0.59375" style="0" customWidth="1"/>
    <col min="13" max="13" width="19.8984375" style="0" hidden="1" customWidth="1"/>
    <col min="14" max="14" width="0.40625" style="0" hidden="1" customWidth="1"/>
    <col min="15" max="15" width="14.8984375" style="0" hidden="1" customWidth="1"/>
    <col min="16" max="16" width="1" style="0" hidden="1" customWidth="1"/>
    <col min="17" max="17" width="17.59765625" style="0" hidden="1" customWidth="1"/>
    <col min="18" max="18" width="1" style="0" hidden="1" customWidth="1"/>
    <col min="19" max="19" width="14" style="0" hidden="1" customWidth="1"/>
    <col min="20" max="20" width="0.6953125" style="0" hidden="1" customWidth="1"/>
    <col min="21" max="21" width="21.3984375" style="0" customWidth="1"/>
    <col min="22" max="22" width="22" style="102" customWidth="1"/>
    <col min="23" max="23" width="1.203125" style="0" customWidth="1"/>
    <col min="24" max="24" width="13.09765625" style="0" customWidth="1"/>
    <col min="25" max="25" width="1.203125" style="0" customWidth="1"/>
    <col min="26" max="26" width="13.59765625" style="0" customWidth="1"/>
  </cols>
  <sheetData>
    <row r="1" spans="1:21" s="33" customFormat="1" ht="23.25" customHeight="1">
      <c r="A1" s="337" t="str">
        <f>'BS&amp;PLcanam'!A1</f>
        <v>CÔNG TY CỔ PHẦN XÂY DỰNG NĂNG LƯỢNG</v>
      </c>
      <c r="B1" s="165"/>
      <c r="C1" s="165"/>
      <c r="D1" s="165"/>
      <c r="E1" s="165"/>
      <c r="F1" s="165"/>
      <c r="G1" s="165"/>
      <c r="H1" s="165"/>
      <c r="J1" s="166"/>
      <c r="K1" s="166"/>
      <c r="L1" s="166"/>
      <c r="M1" s="166"/>
      <c r="N1" s="166"/>
      <c r="O1" s="166"/>
      <c r="P1" s="166"/>
      <c r="Q1" s="166"/>
      <c r="R1" s="166"/>
      <c r="S1" s="166"/>
      <c r="T1" s="166"/>
      <c r="U1" s="100" t="s">
        <v>457</v>
      </c>
    </row>
    <row r="2" spans="1:21" s="33" customFormat="1" ht="16.5" customHeight="1">
      <c r="A2" s="338" t="str">
        <f>'BS&amp;PLcanam'!A2</f>
        <v>Tầng 7, tòa nhà Sông Đà, đường Phạm Hùng, Mỹ Đình, Từ Liêm, Hà Nội</v>
      </c>
      <c r="B2"/>
      <c r="C2"/>
      <c r="D2"/>
      <c r="E2"/>
      <c r="F2"/>
      <c r="G2" s="65"/>
      <c r="H2" s="65"/>
      <c r="I2" s="65"/>
      <c r="J2" s="65"/>
      <c r="K2" s="65"/>
      <c r="L2" s="65"/>
      <c r="N2" s="167"/>
      <c r="O2" s="167"/>
      <c r="P2" s="167"/>
      <c r="Q2" s="167"/>
      <c r="R2" s="167"/>
      <c r="S2" s="167"/>
      <c r="T2" s="167"/>
      <c r="U2" s="65" t="s">
        <v>537</v>
      </c>
    </row>
    <row r="3" spans="1:26" s="33" customFormat="1" ht="16.5" customHeight="1">
      <c r="A3" s="339" t="str">
        <f>'BS&amp;PLcanam'!A3</f>
        <v>Tel: (84 4) 3 7 684 111                             Fax: (84 4) 3 7 684 644</v>
      </c>
      <c r="B3" s="194"/>
      <c r="C3" s="194"/>
      <c r="D3" s="194"/>
      <c r="E3" s="194"/>
      <c r="F3" s="194"/>
      <c r="G3" s="168"/>
      <c r="H3" s="168"/>
      <c r="I3" s="168"/>
      <c r="J3" s="168"/>
      <c r="K3" s="168"/>
      <c r="L3" s="168"/>
      <c r="M3" s="168"/>
      <c r="N3" s="168"/>
      <c r="O3" s="168"/>
      <c r="P3" s="168"/>
      <c r="Q3" s="168"/>
      <c r="R3" s="168"/>
      <c r="S3" s="32"/>
      <c r="T3" s="32"/>
      <c r="U3" s="32"/>
      <c r="W3" s="32"/>
      <c r="X3" s="32"/>
      <c r="Y3" s="32"/>
      <c r="Z3" s="32"/>
    </row>
    <row r="4" spans="1:18" s="33" customFormat="1" ht="6" customHeight="1">
      <c r="A4" s="169"/>
      <c r="B4" s="60"/>
      <c r="D4" s="59"/>
      <c r="E4" s="59"/>
      <c r="F4" s="59"/>
      <c r="G4" s="59"/>
      <c r="H4" s="59"/>
      <c r="I4" s="59"/>
      <c r="J4" s="59"/>
      <c r="K4" s="59"/>
      <c r="L4" s="59"/>
      <c r="M4" s="59"/>
      <c r="N4" s="59"/>
      <c r="O4" s="59"/>
      <c r="P4" s="59"/>
      <c r="Q4" s="59"/>
      <c r="R4" s="59"/>
    </row>
    <row r="5" spans="1:21" s="33" customFormat="1" ht="18" customHeight="1">
      <c r="A5" s="639" t="s">
        <v>448</v>
      </c>
      <c r="B5" s="639"/>
      <c r="C5" s="639"/>
      <c r="D5" s="639"/>
      <c r="E5" s="639"/>
      <c r="F5" s="639"/>
      <c r="G5" s="639"/>
      <c r="H5" s="639"/>
      <c r="I5" s="639"/>
      <c r="J5" s="639"/>
      <c r="K5" s="639"/>
      <c r="L5" s="639"/>
      <c r="M5" s="639"/>
      <c r="N5" s="639"/>
      <c r="O5" s="639"/>
      <c r="P5" s="639"/>
      <c r="Q5" s="639"/>
      <c r="R5" s="639"/>
      <c r="S5" s="639"/>
      <c r="T5" s="639"/>
      <c r="U5" s="639"/>
    </row>
    <row r="6" spans="1:21" s="33" customFormat="1" ht="16.5" customHeight="1">
      <c r="A6" s="632" t="s">
        <v>537</v>
      </c>
      <c r="B6" s="632"/>
      <c r="C6" s="632"/>
      <c r="D6" s="632"/>
      <c r="E6" s="632"/>
      <c r="F6" s="632"/>
      <c r="G6" s="632"/>
      <c r="H6" s="632"/>
      <c r="I6" s="632"/>
      <c r="J6" s="632"/>
      <c r="K6" s="632"/>
      <c r="L6" s="632"/>
      <c r="M6" s="632"/>
      <c r="N6" s="632"/>
      <c r="O6" s="632"/>
      <c r="P6" s="632"/>
      <c r="Q6" s="632"/>
      <c r="R6" s="632"/>
      <c r="S6" s="632"/>
      <c r="T6" s="632"/>
      <c r="U6" s="632"/>
    </row>
    <row r="7" spans="1:21" s="33" customFormat="1" ht="15" customHeight="1">
      <c r="A7" s="640" t="s">
        <v>225</v>
      </c>
      <c r="B7" s="640"/>
      <c r="C7" s="640"/>
      <c r="D7" s="640"/>
      <c r="E7" s="640"/>
      <c r="F7" s="640"/>
      <c r="G7" s="640"/>
      <c r="H7" s="640"/>
      <c r="I7" s="640"/>
      <c r="J7" s="640"/>
      <c r="K7" s="640"/>
      <c r="L7" s="640"/>
      <c r="M7" s="640"/>
      <c r="N7" s="640"/>
      <c r="O7" s="640"/>
      <c r="P7" s="640"/>
      <c r="Q7" s="640"/>
      <c r="R7" s="640"/>
      <c r="S7" s="640"/>
      <c r="T7" s="640"/>
      <c r="U7" s="640"/>
    </row>
    <row r="8" spans="1:21" s="33" customFormat="1" ht="9" customHeight="1">
      <c r="A8" s="169"/>
      <c r="B8" s="60"/>
      <c r="D8" s="59"/>
      <c r="E8" s="59"/>
      <c r="F8" s="59"/>
      <c r="G8" s="59"/>
      <c r="H8" s="59"/>
      <c r="I8" s="59"/>
      <c r="J8" s="59"/>
      <c r="K8" s="536"/>
      <c r="L8" s="536"/>
      <c r="M8" s="536"/>
      <c r="N8" s="536"/>
      <c r="O8" s="536"/>
      <c r="P8" s="536"/>
      <c r="Q8" s="536"/>
      <c r="R8" s="536"/>
      <c r="S8" s="536"/>
      <c r="T8" s="536"/>
      <c r="U8" s="536"/>
    </row>
    <row r="9" spans="1:31" s="33" customFormat="1" ht="15">
      <c r="A9" s="42">
        <v>7</v>
      </c>
      <c r="B9" s="60"/>
      <c r="C9" s="60" t="s">
        <v>449</v>
      </c>
      <c r="D9" s="59"/>
      <c r="E9" s="59"/>
      <c r="F9" s="59"/>
      <c r="G9" s="59"/>
      <c r="H9" s="59"/>
      <c r="I9" s="59"/>
      <c r="J9" s="59"/>
      <c r="K9" s="59"/>
      <c r="L9" s="59"/>
      <c r="M9" s="59"/>
      <c r="N9" s="59"/>
      <c r="O9" s="59"/>
      <c r="P9" s="59"/>
      <c r="Q9" s="59"/>
      <c r="R9" s="59"/>
      <c r="U9" s="536" t="s">
        <v>307</v>
      </c>
      <c r="V9" s="536"/>
      <c r="W9" s="536"/>
      <c r="X9" s="536"/>
      <c r="Y9" s="536"/>
      <c r="Z9" s="536"/>
      <c r="AA9" s="536"/>
      <c r="AB9" s="536"/>
      <c r="AC9" s="536"/>
      <c r="AD9" s="536"/>
      <c r="AE9" s="536"/>
    </row>
    <row r="10" spans="1:18" s="35" customFormat="1" ht="6" customHeight="1">
      <c r="A10" s="169"/>
      <c r="B10" s="170"/>
      <c r="D10" s="171"/>
      <c r="E10" s="171"/>
      <c r="F10" s="171"/>
      <c r="G10" s="171"/>
      <c r="H10" s="171"/>
      <c r="I10" s="171"/>
      <c r="J10" s="171"/>
      <c r="K10" s="171"/>
      <c r="L10" s="171"/>
      <c r="M10" s="171"/>
      <c r="N10" s="171"/>
      <c r="O10" s="171"/>
      <c r="P10" s="171"/>
      <c r="Q10" s="171"/>
      <c r="R10" s="171"/>
    </row>
    <row r="11" spans="1:21" s="35" customFormat="1" ht="15">
      <c r="A11" s="169"/>
      <c r="B11" s="170"/>
      <c r="C11" s="641" t="s">
        <v>232</v>
      </c>
      <c r="D11" s="171"/>
      <c r="E11" s="643" t="s">
        <v>106</v>
      </c>
      <c r="F11" s="171"/>
      <c r="G11" s="96" t="s">
        <v>466</v>
      </c>
      <c r="H11" s="171"/>
      <c r="I11" s="643" t="s">
        <v>103</v>
      </c>
      <c r="J11" s="171"/>
      <c r="K11" s="643" t="s">
        <v>104</v>
      </c>
      <c r="L11" s="171"/>
      <c r="M11" s="643" t="s">
        <v>105</v>
      </c>
      <c r="N11" s="171"/>
      <c r="O11" s="171"/>
      <c r="P11" s="171"/>
      <c r="Q11" s="171"/>
      <c r="R11" s="171"/>
      <c r="U11" s="641" t="s">
        <v>229</v>
      </c>
    </row>
    <row r="12" spans="1:26" s="33" customFormat="1" ht="18.75" customHeight="1">
      <c r="A12" s="169"/>
      <c r="B12" s="60"/>
      <c r="C12" s="642"/>
      <c r="E12" s="645"/>
      <c r="G12" s="81" t="s">
        <v>467</v>
      </c>
      <c r="I12" s="644"/>
      <c r="K12" s="644"/>
      <c r="M12" s="644"/>
      <c r="N12" s="172"/>
      <c r="O12" s="81" t="s">
        <v>343</v>
      </c>
      <c r="P12" s="172"/>
      <c r="Q12" s="81" t="s">
        <v>450</v>
      </c>
      <c r="R12" s="172"/>
      <c r="S12" s="81" t="s">
        <v>451</v>
      </c>
      <c r="U12" s="642"/>
      <c r="W12" s="23"/>
      <c r="X12" s="23"/>
      <c r="Y12" s="23"/>
      <c r="Z12" s="23"/>
    </row>
    <row r="13" spans="1:26" s="33" customFormat="1" ht="6" customHeight="1">
      <c r="A13" s="55"/>
      <c r="C13" s="96"/>
      <c r="I13" s="42"/>
      <c r="M13" s="173"/>
      <c r="N13" s="173"/>
      <c r="O13" s="173"/>
      <c r="P13" s="173"/>
      <c r="Q13" s="173"/>
      <c r="R13" s="173"/>
      <c r="U13" s="174"/>
      <c r="W13" s="23"/>
      <c r="X13" s="23"/>
      <c r="Y13" s="23"/>
      <c r="Z13" s="23"/>
    </row>
    <row r="14" spans="1:26" s="128" customFormat="1" ht="16.5" customHeight="1">
      <c r="A14" s="175"/>
      <c r="B14" s="130"/>
      <c r="C14" s="60" t="s">
        <v>378</v>
      </c>
      <c r="D14" s="33"/>
      <c r="E14" s="33"/>
      <c r="F14" s="33"/>
      <c r="G14" s="33"/>
      <c r="H14" s="33"/>
      <c r="I14" s="33"/>
      <c r="J14" s="33"/>
      <c r="K14" s="33"/>
      <c r="L14" s="33"/>
      <c r="M14" s="59"/>
      <c r="N14" s="59"/>
      <c r="O14" s="59"/>
      <c r="P14" s="59"/>
      <c r="Q14" s="59"/>
      <c r="R14" s="59"/>
      <c r="S14" s="33"/>
      <c r="T14" s="33"/>
      <c r="U14" s="33"/>
      <c r="V14" s="33"/>
      <c r="W14" s="23"/>
      <c r="X14" s="23"/>
      <c r="Y14" s="23"/>
      <c r="Z14" s="23"/>
    </row>
    <row r="15" spans="1:26" s="128" customFormat="1" ht="16.5" customHeight="1">
      <c r="A15" s="175"/>
      <c r="B15" s="130"/>
      <c r="C15" s="176" t="s">
        <v>516</v>
      </c>
      <c r="D15" s="177"/>
      <c r="E15" s="177">
        <v>0</v>
      </c>
      <c r="F15" s="177"/>
      <c r="G15" s="59">
        <v>43008101963</v>
      </c>
      <c r="H15" s="59"/>
      <c r="I15" s="59">
        <v>30332848256</v>
      </c>
      <c r="J15" s="59"/>
      <c r="K15" s="59">
        <v>876614032</v>
      </c>
      <c r="L15" s="59"/>
      <c r="M15" s="59">
        <v>0</v>
      </c>
      <c r="N15" s="59"/>
      <c r="O15" s="59">
        <v>0</v>
      </c>
      <c r="P15" s="59"/>
      <c r="Q15" s="59">
        <v>0</v>
      </c>
      <c r="R15" s="177"/>
      <c r="S15" s="177">
        <v>6401968746</v>
      </c>
      <c r="T15" s="177"/>
      <c r="U15" s="132">
        <f>M15+K15+I15+G15+E15</f>
        <v>74217564251</v>
      </c>
      <c r="V15" s="127"/>
      <c r="W15" s="23"/>
      <c r="X15" s="23"/>
      <c r="Y15" s="23"/>
      <c r="Z15" s="23"/>
    </row>
    <row r="16" spans="1:26" s="128" customFormat="1" ht="16.5" customHeight="1">
      <c r="A16" s="175"/>
      <c r="B16" s="130"/>
      <c r="C16" s="176" t="s">
        <v>338</v>
      </c>
      <c r="D16" s="59"/>
      <c r="E16" s="59">
        <v>0</v>
      </c>
      <c r="F16" s="59"/>
      <c r="G16" s="59"/>
      <c r="H16" s="59"/>
      <c r="I16" s="59"/>
      <c r="J16" s="59"/>
      <c r="K16" s="59"/>
      <c r="L16" s="59"/>
      <c r="M16" s="59">
        <v>0</v>
      </c>
      <c r="N16" s="59"/>
      <c r="O16" s="59">
        <v>0</v>
      </c>
      <c r="P16" s="59"/>
      <c r="Q16" s="59">
        <v>0</v>
      </c>
      <c r="R16" s="59"/>
      <c r="S16" s="59">
        <v>0</v>
      </c>
      <c r="T16" s="59"/>
      <c r="U16" s="132">
        <f aca="true" t="shared" si="0" ref="U16:U21">M16+K16+I16+G16+E16</f>
        <v>0</v>
      </c>
      <c r="V16" s="33"/>
      <c r="W16" s="23"/>
      <c r="X16" s="23"/>
      <c r="Y16" s="23"/>
      <c r="Z16" s="23"/>
    </row>
    <row r="17" spans="1:26" s="128" customFormat="1" ht="16.5" customHeight="1">
      <c r="A17" s="175"/>
      <c r="B17" s="130"/>
      <c r="C17" s="176" t="s">
        <v>374</v>
      </c>
      <c r="D17" s="59"/>
      <c r="E17" s="59">
        <v>0</v>
      </c>
      <c r="F17" s="59"/>
      <c r="G17" s="59"/>
      <c r="H17" s="59"/>
      <c r="I17" s="59"/>
      <c r="J17" s="59"/>
      <c r="K17" s="59"/>
      <c r="L17" s="59"/>
      <c r="M17" s="59">
        <v>0</v>
      </c>
      <c r="N17" s="59"/>
      <c r="O17" s="59">
        <v>0</v>
      </c>
      <c r="P17" s="59"/>
      <c r="Q17" s="59">
        <v>0</v>
      </c>
      <c r="R17" s="59"/>
      <c r="S17" s="59">
        <v>0</v>
      </c>
      <c r="T17" s="59"/>
      <c r="U17" s="132">
        <f t="shared" si="0"/>
        <v>0</v>
      </c>
      <c r="V17" s="33"/>
      <c r="W17" s="23"/>
      <c r="X17" s="23"/>
      <c r="Y17" s="23"/>
      <c r="Z17" s="23"/>
    </row>
    <row r="18" spans="1:21" s="128" customFormat="1" ht="16.5" customHeight="1">
      <c r="A18" s="175"/>
      <c r="B18" s="130"/>
      <c r="C18" s="176" t="s">
        <v>339</v>
      </c>
      <c r="D18" s="59"/>
      <c r="E18" s="59">
        <v>0</v>
      </c>
      <c r="F18" s="59"/>
      <c r="G18" s="59"/>
      <c r="H18" s="59"/>
      <c r="I18" s="59"/>
      <c r="J18" s="59"/>
      <c r="K18" s="59"/>
      <c r="L18" s="59"/>
      <c r="M18" s="59">
        <v>0</v>
      </c>
      <c r="N18" s="59"/>
      <c r="O18" s="59">
        <v>0</v>
      </c>
      <c r="P18" s="59"/>
      <c r="Q18" s="59">
        <v>0</v>
      </c>
      <c r="R18" s="59"/>
      <c r="S18" s="59">
        <v>0</v>
      </c>
      <c r="T18" s="59"/>
      <c r="U18" s="132">
        <f t="shared" si="0"/>
        <v>0</v>
      </c>
    </row>
    <row r="19" spans="1:21" s="128" customFormat="1" ht="16.5" customHeight="1">
      <c r="A19" s="175"/>
      <c r="B19" s="130"/>
      <c r="C19" s="176" t="s">
        <v>452</v>
      </c>
      <c r="D19" s="59"/>
      <c r="E19" s="59">
        <v>0</v>
      </c>
      <c r="F19" s="59"/>
      <c r="G19" s="59"/>
      <c r="H19" s="59"/>
      <c r="I19" s="59"/>
      <c r="J19" s="59"/>
      <c r="K19" s="59"/>
      <c r="L19" s="59"/>
      <c r="M19" s="59">
        <v>0</v>
      </c>
      <c r="N19" s="59"/>
      <c r="O19" s="59">
        <v>0</v>
      </c>
      <c r="P19" s="59"/>
      <c r="Q19" s="59">
        <v>0</v>
      </c>
      <c r="R19" s="59"/>
      <c r="S19" s="59">
        <v>0</v>
      </c>
      <c r="T19" s="59"/>
      <c r="U19" s="132">
        <f t="shared" si="0"/>
        <v>0</v>
      </c>
    </row>
    <row r="20" spans="1:21" s="128" customFormat="1" ht="16.5" customHeight="1">
      <c r="A20" s="175"/>
      <c r="B20" s="130"/>
      <c r="C20" s="176" t="s">
        <v>340</v>
      </c>
      <c r="D20" s="59"/>
      <c r="E20" s="59">
        <v>0</v>
      </c>
      <c r="F20" s="59"/>
      <c r="G20" s="59">
        <f>-2914285714</f>
        <v>-2914285714</v>
      </c>
      <c r="H20" s="59"/>
      <c r="I20" s="59"/>
      <c r="J20" s="59"/>
      <c r="K20" s="59"/>
      <c r="L20" s="59"/>
      <c r="M20" s="59">
        <v>0</v>
      </c>
      <c r="N20" s="59"/>
      <c r="O20" s="59">
        <v>0</v>
      </c>
      <c r="P20" s="59"/>
      <c r="Q20" s="59">
        <v>0</v>
      </c>
      <c r="R20" s="59"/>
      <c r="S20" s="59">
        <v>0</v>
      </c>
      <c r="T20" s="59"/>
      <c r="U20" s="132">
        <f t="shared" si="0"/>
        <v>-2914285714</v>
      </c>
    </row>
    <row r="21" spans="1:21" s="128" customFormat="1" ht="16.5" customHeight="1">
      <c r="A21" s="175"/>
      <c r="B21" s="130"/>
      <c r="C21" s="176" t="s">
        <v>341</v>
      </c>
      <c r="D21" s="59"/>
      <c r="E21" s="59">
        <v>0</v>
      </c>
      <c r="F21" s="59"/>
      <c r="G21" s="59"/>
      <c r="H21" s="59"/>
      <c r="I21" s="59"/>
      <c r="J21" s="59"/>
      <c r="K21" s="59"/>
      <c r="L21" s="59"/>
      <c r="M21" s="59">
        <v>0</v>
      </c>
      <c r="N21" s="59"/>
      <c r="O21" s="59">
        <v>0</v>
      </c>
      <c r="P21" s="59"/>
      <c r="Q21" s="59">
        <v>0</v>
      </c>
      <c r="R21" s="59"/>
      <c r="S21" s="59">
        <v>0</v>
      </c>
      <c r="T21" s="59"/>
      <c r="U21" s="132">
        <f t="shared" si="0"/>
        <v>0</v>
      </c>
    </row>
    <row r="22" spans="1:22" s="33" customFormat="1" ht="16.5" customHeight="1">
      <c r="A22" s="55"/>
      <c r="C22" s="176" t="s">
        <v>529</v>
      </c>
      <c r="D22" s="177"/>
      <c r="E22" s="59">
        <f>E15+E16+E17+E18-E19-E20-E21</f>
        <v>0</v>
      </c>
      <c r="F22" s="177"/>
      <c r="G22" s="59">
        <f>SUM(G15:G21)</f>
        <v>40093816249</v>
      </c>
      <c r="H22" s="59"/>
      <c r="I22" s="59">
        <f>SUM(I15:I21)</f>
        <v>30332848256</v>
      </c>
      <c r="J22" s="59"/>
      <c r="K22" s="59">
        <f>SUM(K15:K21)</f>
        <v>876614032</v>
      </c>
      <c r="L22" s="59"/>
      <c r="M22" s="59">
        <f>M15+M16+M17+M18-M19-M20-M21</f>
        <v>0</v>
      </c>
      <c r="N22" s="59"/>
      <c r="O22" s="59">
        <f>O15+O16+O17+O18-O19-O20-O21</f>
        <v>0</v>
      </c>
      <c r="P22" s="59"/>
      <c r="Q22" s="59">
        <f>Q15+Q16+Q17+Q18-Q19-Q20-Q21</f>
        <v>0</v>
      </c>
      <c r="R22" s="177"/>
      <c r="S22" s="177">
        <f>S15+S16+S17+S18-S19-S20-S21</f>
        <v>6401968746</v>
      </c>
      <c r="T22" s="177"/>
      <c r="U22" s="132">
        <f>SUM(U15:U21)</f>
        <v>71303278537</v>
      </c>
      <c r="V22" s="127"/>
    </row>
    <row r="23" spans="3:21" ht="3" customHeight="1">
      <c r="C23" s="176"/>
      <c r="D23" s="59"/>
      <c r="E23" s="59"/>
      <c r="F23" s="59"/>
      <c r="G23" s="59"/>
      <c r="H23" s="59"/>
      <c r="I23" s="59"/>
      <c r="J23" s="59"/>
      <c r="K23" s="59"/>
      <c r="L23" s="59"/>
      <c r="M23" s="59"/>
      <c r="N23" s="59"/>
      <c r="O23" s="59"/>
      <c r="P23" s="59"/>
      <c r="Q23" s="59"/>
      <c r="R23" s="59"/>
      <c r="S23" s="59"/>
      <c r="T23" s="59"/>
      <c r="U23" s="59"/>
    </row>
    <row r="24" spans="3:21" ht="16.5" customHeight="1">
      <c r="C24" s="60" t="s">
        <v>222</v>
      </c>
      <c r="D24" s="59"/>
      <c r="E24" s="59"/>
      <c r="F24" s="59"/>
      <c r="G24" s="59"/>
      <c r="H24" s="59"/>
      <c r="I24" s="59"/>
      <c r="J24" s="59"/>
      <c r="K24" s="59"/>
      <c r="L24" s="59"/>
      <c r="M24" s="59"/>
      <c r="N24" s="59"/>
      <c r="O24" s="59"/>
      <c r="P24" s="59"/>
      <c r="Q24" s="59"/>
      <c r="R24" s="59"/>
      <c r="S24" s="59"/>
      <c r="T24" s="59"/>
      <c r="U24" s="59"/>
    </row>
    <row r="25" spans="3:22" ht="16.5" customHeight="1">
      <c r="C25" s="176" t="s">
        <v>516</v>
      </c>
      <c r="D25" s="177"/>
      <c r="E25" s="177"/>
      <c r="F25" s="177"/>
      <c r="G25" s="59">
        <v>35504990726</v>
      </c>
      <c r="H25" s="59"/>
      <c r="I25" s="59">
        <v>19017766172</v>
      </c>
      <c r="J25" s="59"/>
      <c r="K25" s="59">
        <v>741781464</v>
      </c>
      <c r="L25" s="59"/>
      <c r="M25" s="59">
        <v>0</v>
      </c>
      <c r="N25" s="59"/>
      <c r="O25" s="59">
        <v>0</v>
      </c>
      <c r="P25" s="59"/>
      <c r="Q25" s="59">
        <v>0</v>
      </c>
      <c r="R25" s="177"/>
      <c r="S25" s="177">
        <v>5990063054</v>
      </c>
      <c r="T25" s="177"/>
      <c r="U25" s="132">
        <f aca="true" t="shared" si="1" ref="U25:U30">M25+K25+I25+G25+E25</f>
        <v>55264538362</v>
      </c>
      <c r="V25" s="178"/>
    </row>
    <row r="26" spans="3:21" ht="16.5" customHeight="1">
      <c r="C26" s="176" t="s">
        <v>493</v>
      </c>
      <c r="D26" s="59"/>
      <c r="E26" s="59"/>
      <c r="F26" s="59"/>
      <c r="G26" s="59">
        <f>3043153110</f>
        <v>3043153110</v>
      </c>
      <c r="H26" s="59"/>
      <c r="I26" s="59">
        <f>2772536635</f>
        <v>2772536635</v>
      </c>
      <c r="J26" s="59"/>
      <c r="K26" s="59">
        <f>30714186</f>
        <v>30714186</v>
      </c>
      <c r="L26" s="59"/>
      <c r="M26" s="59">
        <v>0</v>
      </c>
      <c r="N26" s="59"/>
      <c r="O26" s="59">
        <v>0</v>
      </c>
      <c r="P26" s="59"/>
      <c r="Q26" s="59">
        <v>0</v>
      </c>
      <c r="R26" s="59"/>
      <c r="S26" s="59">
        <v>128436934</v>
      </c>
      <c r="T26" s="59"/>
      <c r="U26" s="132">
        <f t="shared" si="1"/>
        <v>5846403931</v>
      </c>
    </row>
    <row r="27" spans="3:21" ht="16.5" customHeight="1">
      <c r="C27" s="176" t="s">
        <v>339</v>
      </c>
      <c r="D27" s="59"/>
      <c r="E27" s="59"/>
      <c r="F27" s="59"/>
      <c r="G27" s="59"/>
      <c r="H27" s="59"/>
      <c r="I27" s="59"/>
      <c r="J27" s="59"/>
      <c r="K27" s="59"/>
      <c r="L27" s="59"/>
      <c r="M27" s="59">
        <v>0</v>
      </c>
      <c r="N27" s="59"/>
      <c r="O27" s="59"/>
      <c r="P27" s="59"/>
      <c r="Q27" s="59"/>
      <c r="R27" s="59"/>
      <c r="S27" s="59"/>
      <c r="T27" s="59"/>
      <c r="U27" s="132">
        <f t="shared" si="1"/>
        <v>0</v>
      </c>
    </row>
    <row r="28" spans="3:21" ht="16.5" customHeight="1">
      <c r="C28" s="176" t="s">
        <v>452</v>
      </c>
      <c r="D28" s="59"/>
      <c r="E28" s="59"/>
      <c r="F28" s="59"/>
      <c r="G28" s="59"/>
      <c r="H28" s="59"/>
      <c r="I28" s="59"/>
      <c r="J28" s="59"/>
      <c r="K28" s="59"/>
      <c r="L28" s="59"/>
      <c r="M28" s="59">
        <v>0</v>
      </c>
      <c r="N28" s="59"/>
      <c r="O28" s="59">
        <v>0</v>
      </c>
      <c r="P28" s="59"/>
      <c r="Q28" s="59">
        <v>0</v>
      </c>
      <c r="R28" s="59"/>
      <c r="S28" s="59">
        <v>0</v>
      </c>
      <c r="T28" s="59"/>
      <c r="U28" s="132">
        <f t="shared" si="1"/>
        <v>0</v>
      </c>
    </row>
    <row r="29" spans="3:21" ht="16.5" customHeight="1">
      <c r="C29" s="176" t="s">
        <v>340</v>
      </c>
      <c r="D29" s="59"/>
      <c r="E29" s="59"/>
      <c r="F29" s="59"/>
      <c r="G29" s="59">
        <f>-3176104905</f>
        <v>-3176104905</v>
      </c>
      <c r="H29" s="59"/>
      <c r="I29" s="59"/>
      <c r="J29" s="59"/>
      <c r="K29" s="59"/>
      <c r="L29" s="59"/>
      <c r="M29" s="59">
        <v>0</v>
      </c>
      <c r="N29" s="59"/>
      <c r="O29" s="59">
        <v>0</v>
      </c>
      <c r="P29" s="59"/>
      <c r="Q29" s="59">
        <v>0</v>
      </c>
      <c r="R29" s="59"/>
      <c r="S29" s="59">
        <v>0</v>
      </c>
      <c r="T29" s="59"/>
      <c r="U29" s="132">
        <f t="shared" si="1"/>
        <v>-3176104905</v>
      </c>
    </row>
    <row r="30" spans="3:21" ht="16.5" customHeight="1">
      <c r="C30" s="176" t="s">
        <v>341</v>
      </c>
      <c r="D30" s="59"/>
      <c r="E30" s="59"/>
      <c r="F30" s="59"/>
      <c r="G30" s="59"/>
      <c r="H30" s="59"/>
      <c r="I30" s="59"/>
      <c r="J30" s="59"/>
      <c r="K30" s="59"/>
      <c r="L30" s="59"/>
      <c r="M30" s="59">
        <v>0</v>
      </c>
      <c r="N30" s="59"/>
      <c r="O30" s="59">
        <v>0</v>
      </c>
      <c r="P30" s="59"/>
      <c r="Q30" s="59">
        <v>0</v>
      </c>
      <c r="R30" s="59"/>
      <c r="S30" s="59">
        <v>0</v>
      </c>
      <c r="T30" s="59"/>
      <c r="U30" s="132">
        <f t="shared" si="1"/>
        <v>0</v>
      </c>
    </row>
    <row r="31" spans="3:24" ht="16.5" customHeight="1">
      <c r="C31" s="176" t="s">
        <v>529</v>
      </c>
      <c r="D31" s="177"/>
      <c r="E31" s="177"/>
      <c r="F31" s="177"/>
      <c r="G31" s="59">
        <f>SUM(G25:G30)</f>
        <v>35372038931</v>
      </c>
      <c r="H31" s="59"/>
      <c r="I31" s="59">
        <f>SUM(I25:I30)</f>
        <v>21790302807</v>
      </c>
      <c r="J31" s="59"/>
      <c r="K31" s="59">
        <f>SUM(K25:K30)</f>
        <v>772495650</v>
      </c>
      <c r="L31" s="59"/>
      <c r="M31" s="59">
        <f>M25+M26-M28-M29-M30+M27</f>
        <v>0</v>
      </c>
      <c r="N31" s="59"/>
      <c r="O31" s="59">
        <f>O25+O26-O28-O29-O30</f>
        <v>0</v>
      </c>
      <c r="P31" s="59"/>
      <c r="Q31" s="59">
        <f>Q25+Q26-Q28-Q29-Q30</f>
        <v>0</v>
      </c>
      <c r="R31" s="177"/>
      <c r="S31" s="177">
        <f>S25+S26-S28-S29-S30</f>
        <v>6118499988</v>
      </c>
      <c r="T31" s="177"/>
      <c r="U31" s="132">
        <f>SUM(U25:U30)</f>
        <v>57934837388</v>
      </c>
      <c r="V31" s="178"/>
      <c r="X31" s="462"/>
    </row>
    <row r="32" spans="3:21" ht="3" customHeight="1">
      <c r="C32" s="176"/>
      <c r="D32" s="59"/>
      <c r="E32" s="59"/>
      <c r="F32" s="59"/>
      <c r="G32" s="59"/>
      <c r="H32" s="59"/>
      <c r="I32" s="59"/>
      <c r="J32" s="59"/>
      <c r="K32" s="59"/>
      <c r="L32" s="59"/>
      <c r="M32" s="59"/>
      <c r="N32" s="59"/>
      <c r="O32" s="59"/>
      <c r="P32" s="59"/>
      <c r="Q32" s="59"/>
      <c r="R32" s="59"/>
      <c r="S32" s="59"/>
      <c r="T32" s="59"/>
      <c r="U32" s="59"/>
    </row>
    <row r="33" spans="3:21" ht="16.5" customHeight="1">
      <c r="C33" s="60" t="s">
        <v>342</v>
      </c>
      <c r="D33" s="59"/>
      <c r="E33" s="59"/>
      <c r="F33" s="59"/>
      <c r="G33" s="59"/>
      <c r="H33" s="59"/>
      <c r="I33" s="59"/>
      <c r="J33" s="59"/>
      <c r="K33" s="59"/>
      <c r="L33" s="59"/>
      <c r="M33" s="59"/>
      <c r="N33" s="59"/>
      <c r="O33" s="59"/>
      <c r="P33" s="59"/>
      <c r="Q33" s="59"/>
      <c r="R33" s="59"/>
      <c r="S33" s="59"/>
      <c r="T33" s="59"/>
      <c r="U33" s="59"/>
    </row>
    <row r="34" spans="3:26" s="26" customFormat="1" ht="16.5" customHeight="1">
      <c r="C34" s="125" t="s">
        <v>517</v>
      </c>
      <c r="D34" s="132"/>
      <c r="E34" s="132"/>
      <c r="F34" s="132"/>
      <c r="G34" s="132">
        <f>G15-G25</f>
        <v>7503111237</v>
      </c>
      <c r="H34" s="132"/>
      <c r="I34" s="132">
        <f>I15-I25</f>
        <v>11315082084</v>
      </c>
      <c r="J34" s="132">
        <f>J15-J25</f>
        <v>0</v>
      </c>
      <c r="K34" s="132">
        <f>K15-K25</f>
        <v>134832568</v>
      </c>
      <c r="L34" s="132"/>
      <c r="M34" s="132">
        <f>M15-M25</f>
        <v>0</v>
      </c>
      <c r="N34" s="132"/>
      <c r="O34" s="132">
        <f>O15-O25</f>
        <v>0</v>
      </c>
      <c r="P34" s="132"/>
      <c r="Q34" s="132">
        <f>Q15-Q25</f>
        <v>0</v>
      </c>
      <c r="R34" s="132"/>
      <c r="S34" s="132">
        <f>S15-S25</f>
        <v>411905692</v>
      </c>
      <c r="T34" s="132"/>
      <c r="U34" s="132">
        <f>U15-U25</f>
        <v>18953025889</v>
      </c>
      <c r="V34" s="179"/>
      <c r="Z34" s="180"/>
    </row>
    <row r="35" spans="3:22" s="26" customFormat="1" ht="16.5" customHeight="1">
      <c r="C35" s="125" t="s">
        <v>530</v>
      </c>
      <c r="D35" s="132"/>
      <c r="E35" s="132"/>
      <c r="F35" s="132"/>
      <c r="G35" s="132">
        <f>G22-G31</f>
        <v>4721777318</v>
      </c>
      <c r="H35" s="132"/>
      <c r="I35" s="132">
        <f>I22-I31</f>
        <v>8542545449</v>
      </c>
      <c r="J35" s="132">
        <f>J22-J31</f>
        <v>0</v>
      </c>
      <c r="K35" s="132">
        <f>K22-K31</f>
        <v>104118382</v>
      </c>
      <c r="L35" s="132"/>
      <c r="M35" s="132">
        <f>M22-M31</f>
        <v>0</v>
      </c>
      <c r="N35" s="132"/>
      <c r="O35" s="132">
        <f>O22-O31</f>
        <v>0</v>
      </c>
      <c r="P35" s="132"/>
      <c r="Q35" s="132">
        <f>Q22-Q31</f>
        <v>0</v>
      </c>
      <c r="R35" s="132"/>
      <c r="S35" s="132">
        <f>S22-S31</f>
        <v>283468758</v>
      </c>
      <c r="T35" s="132"/>
      <c r="U35" s="132">
        <f>U22-U31</f>
        <v>13368441149</v>
      </c>
      <c r="V35" s="179"/>
    </row>
    <row r="36" spans="3:21" ht="12.75" customHeight="1">
      <c r="C36" s="176"/>
      <c r="D36" s="59"/>
      <c r="E36" s="59"/>
      <c r="F36" s="59"/>
      <c r="G36" s="59"/>
      <c r="H36" s="59"/>
      <c r="I36" s="59"/>
      <c r="J36" s="59"/>
      <c r="K36" s="59"/>
      <c r="L36" s="59"/>
      <c r="M36" s="59"/>
      <c r="N36" s="59"/>
      <c r="O36" s="59"/>
      <c r="P36" s="59"/>
      <c r="Q36" s="59"/>
      <c r="R36" s="59"/>
      <c r="S36" s="59"/>
      <c r="T36" s="59"/>
      <c r="U36" s="132"/>
    </row>
    <row r="37" spans="1:21" ht="16.5" customHeight="1">
      <c r="A37" s="340"/>
      <c r="C37" s="176"/>
      <c r="D37" s="59"/>
      <c r="E37" s="59"/>
      <c r="F37" s="59"/>
      <c r="G37" s="59"/>
      <c r="H37" s="59"/>
      <c r="I37" s="59"/>
      <c r="J37" s="59"/>
      <c r="K37" s="59"/>
      <c r="L37" s="59"/>
      <c r="M37" s="59"/>
      <c r="N37" s="59"/>
      <c r="O37" s="59"/>
      <c r="P37" s="59"/>
      <c r="Q37" s="59"/>
      <c r="R37" s="59"/>
      <c r="S37" s="59"/>
      <c r="T37" s="59"/>
      <c r="U37" s="132"/>
    </row>
    <row r="38" spans="1:21" ht="15.75">
      <c r="A38" s="340"/>
      <c r="C38" s="176"/>
      <c r="D38" s="59"/>
      <c r="E38" s="59"/>
      <c r="F38" s="59"/>
      <c r="G38" s="59"/>
      <c r="H38" s="59"/>
      <c r="I38" s="59"/>
      <c r="J38" s="59"/>
      <c r="K38" s="59"/>
      <c r="L38" s="59"/>
      <c r="M38" s="59"/>
      <c r="N38" s="59"/>
      <c r="O38" s="59"/>
      <c r="P38" s="59"/>
      <c r="Q38" s="59"/>
      <c r="R38" s="59"/>
      <c r="S38" s="59"/>
      <c r="T38" s="59"/>
      <c r="U38" s="132"/>
    </row>
    <row r="40" ht="15">
      <c r="U40" s="462"/>
    </row>
  </sheetData>
  <mergeCells count="9">
    <mergeCell ref="A5:U5"/>
    <mergeCell ref="A6:U6"/>
    <mergeCell ref="A7:U7"/>
    <mergeCell ref="U11:U12"/>
    <mergeCell ref="C11:C12"/>
    <mergeCell ref="I11:I12"/>
    <mergeCell ref="K11:K12"/>
    <mergeCell ref="M11:M12"/>
    <mergeCell ref="E11:E12"/>
  </mergeCells>
  <conditionalFormatting sqref="I11:I12 K11:K12 M11:M12">
    <cfRule type="expression" priority="1" dxfId="1" stopIfTrue="1">
      <formula>OR(VALUE($T11)&lt;&gt;0,VALUE($U11)&lt;&gt;0)</formula>
    </cfRule>
  </conditionalFormatting>
  <conditionalFormatting sqref="E11 A37:A38">
    <cfRule type="expression" priority="2" dxfId="1" stopIfTrue="1">
      <formula>OR(VALUE($R11)&lt;&gt;0,VALUE($S11)&lt;&gt;0)</formula>
    </cfRule>
  </conditionalFormatting>
  <printOptions horizontalCentered="1"/>
  <pageMargins left="0.5" right="0.5" top="0.5" bottom="0.25" header="0.5" footer="0.15"/>
  <pageSetup firstPageNumber="18" useFirstPageNumber="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3.19921875" style="36" customWidth="1"/>
    <col min="2" max="2" width="1" style="36" customWidth="1"/>
    <col min="3" max="3" width="25" style="36" customWidth="1"/>
    <col min="4" max="16384" width="7.09765625" style="36" customWidth="1"/>
  </cols>
  <sheetData>
    <row r="1" spans="1:3" ht="15">
      <c r="A1"/>
      <c r="C1"/>
    </row>
    <row r="2" ht="15.75" thickBot="1">
      <c r="A2"/>
    </row>
    <row r="3" spans="1:3" ht="15.75" thickBot="1">
      <c r="A3"/>
      <c r="C3"/>
    </row>
    <row r="4" spans="1:3" ht="15">
      <c r="A4"/>
      <c r="C4"/>
    </row>
    <row r="5" ht="15">
      <c r="C5"/>
    </row>
    <row r="6" ht="15.75" thickBot="1">
      <c r="C6"/>
    </row>
    <row r="7" spans="1:3" ht="15">
      <c r="A7"/>
      <c r="C7"/>
    </row>
    <row r="8" spans="1:3" ht="15">
      <c r="A8"/>
      <c r="C8"/>
    </row>
    <row r="9" spans="1:3" ht="15">
      <c r="A9"/>
      <c r="C9"/>
    </row>
    <row r="10" spans="1:3" ht="15">
      <c r="A10"/>
      <c r="C10"/>
    </row>
    <row r="11" spans="1:3" ht="15.75" thickBot="1">
      <c r="A11"/>
      <c r="C11"/>
    </row>
    <row r="12" ht="15">
      <c r="C12"/>
    </row>
    <row r="13" ht="15.75" thickBot="1">
      <c r="C13"/>
    </row>
    <row r="14" spans="1:3" ht="15.75" thickBot="1">
      <c r="A14"/>
      <c r="C14"/>
    </row>
    <row r="15" ht="15">
      <c r="A15"/>
    </row>
    <row r="16" ht="15.75" thickBot="1">
      <c r="A16"/>
    </row>
    <row r="17" spans="1:3" ht="15.75" thickBot="1">
      <c r="A17"/>
      <c r="C17"/>
    </row>
    <row r="18" ht="15">
      <c r="C18"/>
    </row>
    <row r="19" ht="15">
      <c r="C19"/>
    </row>
    <row r="20" spans="1:3" ht="15">
      <c r="A20"/>
      <c r="C20"/>
    </row>
    <row r="21" spans="1:3" ht="15">
      <c r="A21"/>
      <c r="C21"/>
    </row>
    <row r="22" spans="1:3" ht="15">
      <c r="A22"/>
      <c r="C22"/>
    </row>
    <row r="23" spans="1:3" ht="15">
      <c r="A23"/>
      <c r="C23"/>
    </row>
    <row r="24" ht="15">
      <c r="A24"/>
    </row>
    <row r="25" ht="15">
      <c r="A25"/>
    </row>
    <row r="26" spans="1:3" ht="15.75" thickBot="1">
      <c r="A26"/>
      <c r="C26"/>
    </row>
    <row r="27" spans="1:3" ht="15">
      <c r="A27"/>
      <c r="C27"/>
    </row>
    <row r="28" spans="1:3" ht="15">
      <c r="A28"/>
      <c r="C28"/>
    </row>
    <row r="29" spans="1:3" ht="15">
      <c r="A29"/>
      <c r="C29"/>
    </row>
    <row r="30" spans="1:3" ht="15">
      <c r="A30"/>
      <c r="C30"/>
    </row>
    <row r="31" spans="1:3" ht="15">
      <c r="A31"/>
      <c r="C31"/>
    </row>
    <row r="32" spans="1:3" ht="15">
      <c r="A32"/>
      <c r="C32"/>
    </row>
    <row r="33" spans="1:3" ht="15">
      <c r="A33"/>
      <c r="C33"/>
    </row>
    <row r="34" spans="1:3" ht="15">
      <c r="A34"/>
      <c r="C34"/>
    </row>
    <row r="35" spans="1:3" ht="15">
      <c r="A35"/>
      <c r="C35"/>
    </row>
    <row r="36" spans="1:3" ht="15">
      <c r="A36"/>
      <c r="C36"/>
    </row>
    <row r="37" ht="15">
      <c r="A37"/>
    </row>
    <row r="38" ht="15">
      <c r="A38"/>
    </row>
    <row r="39" spans="1:3" ht="15">
      <c r="A39"/>
      <c r="C39"/>
    </row>
    <row r="40" spans="1:3" ht="15">
      <c r="A40"/>
      <c r="C40"/>
    </row>
    <row r="41" spans="1:3" ht="15">
      <c r="A41"/>
      <c r="C41"/>
    </row>
  </sheetData>
  <sheetProtection password="8863" sheet="1" object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3.19921875" style="36" customWidth="1"/>
    <col min="2" max="2" width="1" style="36" customWidth="1"/>
    <col min="3" max="3" width="25" style="36" customWidth="1"/>
    <col min="4" max="16384" width="7.09765625" style="36" customWidth="1"/>
  </cols>
  <sheetData>
    <row r="1" spans="1:3" ht="15">
      <c r="A1" s="54"/>
      <c r="C1"/>
    </row>
    <row r="2" ht="15.75" thickBot="1">
      <c r="A2" s="54"/>
    </row>
    <row r="3" spans="1:3" ht="15.75" thickBot="1">
      <c r="A3" s="54"/>
      <c r="C3" s="54"/>
    </row>
    <row r="4" spans="1:3" ht="15">
      <c r="A4" s="54"/>
      <c r="C4" s="54"/>
    </row>
    <row r="5" ht="15">
      <c r="C5" s="54"/>
    </row>
    <row r="6" ht="15.75" thickBot="1">
      <c r="C6" s="54"/>
    </row>
    <row r="7" spans="1:3" ht="15">
      <c r="A7" s="54"/>
      <c r="C7" s="54"/>
    </row>
    <row r="8" spans="1:3" ht="15">
      <c r="A8" s="54"/>
      <c r="C8" s="54"/>
    </row>
    <row r="9" spans="1:3" ht="15">
      <c r="A9" s="54"/>
      <c r="C9" s="54"/>
    </row>
    <row r="10" spans="1:3" ht="15">
      <c r="A10" s="54"/>
      <c r="C10" s="54"/>
    </row>
    <row r="11" spans="1:3" ht="15.75" thickBot="1">
      <c r="A11" s="54"/>
      <c r="C11" s="54"/>
    </row>
    <row r="12" ht="15">
      <c r="C12" s="54"/>
    </row>
    <row r="13" ht="15.75" thickBot="1">
      <c r="C13" s="54"/>
    </row>
    <row r="14" spans="1:3" ht="15.75" thickBot="1">
      <c r="A14" s="54"/>
      <c r="C14" s="54"/>
    </row>
    <row r="15" ht="15">
      <c r="A15" s="54"/>
    </row>
    <row r="16" ht="15.75" thickBot="1">
      <c r="A16" s="54"/>
    </row>
    <row r="17" spans="1:3" ht="15.75" thickBot="1">
      <c r="A17" s="54"/>
      <c r="C17" s="54"/>
    </row>
    <row r="18" ht="15">
      <c r="C18" s="54"/>
    </row>
    <row r="19" ht="15">
      <c r="C19" s="54"/>
    </row>
    <row r="20" spans="1:3" ht="15">
      <c r="A20" s="54"/>
      <c r="C20" s="54"/>
    </row>
    <row r="21" spans="1:3" ht="15">
      <c r="A21" s="54"/>
      <c r="C21" s="54"/>
    </row>
    <row r="22" spans="1:3" ht="15">
      <c r="A22" s="54"/>
      <c r="C22" s="54"/>
    </row>
    <row r="23" spans="1:3" ht="15">
      <c r="A23" s="54"/>
      <c r="C23" s="54"/>
    </row>
    <row r="24" ht="15">
      <c r="A24" s="54"/>
    </row>
    <row r="25" ht="15">
      <c r="A25" s="54"/>
    </row>
    <row r="26" spans="1:3" ht="15.75" thickBot="1">
      <c r="A26" s="54"/>
      <c r="C26" s="54"/>
    </row>
    <row r="27" spans="1:3" ht="15">
      <c r="A27" s="54"/>
      <c r="C27" s="54"/>
    </row>
    <row r="28" spans="1:3" ht="15">
      <c r="A28" s="54"/>
      <c r="C28" s="54"/>
    </row>
    <row r="29" spans="1:3" ht="15">
      <c r="A29" s="54"/>
      <c r="C29" s="54"/>
    </row>
    <row r="30" spans="1:3" ht="15">
      <c r="A30" s="54"/>
      <c r="C30" s="54"/>
    </row>
    <row r="31" spans="1:3" ht="15">
      <c r="A31" s="54"/>
      <c r="C31" s="54"/>
    </row>
    <row r="32" spans="1:3" ht="15">
      <c r="A32" s="54"/>
      <c r="C32" s="54"/>
    </row>
    <row r="33" spans="1:3" ht="15">
      <c r="A33" s="54"/>
      <c r="C33" s="54"/>
    </row>
    <row r="34" spans="1:3" ht="15">
      <c r="A34" s="54"/>
      <c r="C34" s="54"/>
    </row>
    <row r="35" spans="1:3" ht="15">
      <c r="A35" s="54"/>
      <c r="C35" s="54"/>
    </row>
    <row r="36" spans="1:3" ht="15">
      <c r="A36" s="54"/>
      <c r="C36" s="54"/>
    </row>
    <row r="37" ht="15">
      <c r="A37" s="54"/>
    </row>
    <row r="38" ht="15">
      <c r="A38" s="54"/>
    </row>
    <row r="39" spans="1:3" ht="15">
      <c r="A39" s="54"/>
      <c r="C39" s="54"/>
    </row>
    <row r="40" spans="1:3" ht="15">
      <c r="A40" s="54"/>
      <c r="C40" s="54"/>
    </row>
    <row r="41" spans="1:3" ht="15">
      <c r="A41" s="54"/>
      <c r="C41" s="54"/>
    </row>
  </sheetData>
  <sheetProtection password="8863" sheet="1" objects="1"/>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3.19921875" style="36" customWidth="1"/>
    <col min="2" max="2" width="1" style="36" customWidth="1"/>
    <col min="3" max="3" width="25" style="36" customWidth="1"/>
    <col min="4" max="16384" width="7.09765625" style="36" customWidth="1"/>
  </cols>
  <sheetData>
    <row r="1" spans="1:3" ht="15">
      <c r="A1" s="61"/>
      <c r="C1"/>
    </row>
    <row r="2" ht="15.75" thickBot="1">
      <c r="A2" s="61"/>
    </row>
    <row r="3" spans="1:3" ht="15.75" thickBot="1">
      <c r="A3" s="61"/>
      <c r="C3" s="61"/>
    </row>
    <row r="4" spans="1:3" ht="15">
      <c r="A4" s="61"/>
      <c r="C4" s="61"/>
    </row>
    <row r="5" ht="15">
      <c r="C5" s="61"/>
    </row>
    <row r="6" ht="15.75" thickBot="1">
      <c r="C6" s="61"/>
    </row>
    <row r="7" spans="1:3" ht="15">
      <c r="A7" s="61"/>
      <c r="C7" s="61"/>
    </row>
    <row r="8" spans="1:3" ht="15">
      <c r="A8" s="61"/>
      <c r="C8" s="61"/>
    </row>
    <row r="9" spans="1:3" ht="15">
      <c r="A9" s="61"/>
      <c r="C9" s="61"/>
    </row>
    <row r="10" spans="1:3" ht="15">
      <c r="A10" s="61"/>
      <c r="C10" s="61"/>
    </row>
    <row r="11" spans="1:3" ht="15.75" thickBot="1">
      <c r="A11" s="61"/>
      <c r="C11" s="61"/>
    </row>
    <row r="12" ht="15">
      <c r="C12" s="61"/>
    </row>
    <row r="13" ht="15.75" thickBot="1">
      <c r="C13" s="61"/>
    </row>
    <row r="14" spans="1:3" ht="15.75" thickBot="1">
      <c r="A14" s="61"/>
      <c r="C14" s="61"/>
    </row>
    <row r="15" ht="15">
      <c r="A15" s="61"/>
    </row>
    <row r="16" ht="15.75" thickBot="1">
      <c r="A16" s="61"/>
    </row>
    <row r="17" spans="1:3" ht="15.75" thickBot="1">
      <c r="A17" s="61"/>
      <c r="C17" s="61"/>
    </row>
    <row r="18" ht="15">
      <c r="C18" s="61"/>
    </row>
    <row r="19" ht="15">
      <c r="C19" s="61"/>
    </row>
    <row r="20" spans="1:3" ht="15">
      <c r="A20" s="61"/>
      <c r="C20" s="61"/>
    </row>
    <row r="21" spans="1:3" ht="15">
      <c r="A21" s="61"/>
      <c r="C21" s="61"/>
    </row>
    <row r="22" spans="1:3" ht="15">
      <c r="A22" s="61"/>
      <c r="C22" s="61"/>
    </row>
    <row r="23" spans="1:3" ht="15">
      <c r="A23" s="61"/>
      <c r="C23" s="61"/>
    </row>
    <row r="24" ht="15">
      <c r="A24" s="61"/>
    </row>
    <row r="25" ht="15">
      <c r="A25" s="61"/>
    </row>
    <row r="26" spans="1:3" ht="15.75" thickBot="1">
      <c r="A26" s="61"/>
      <c r="C26" s="61"/>
    </row>
    <row r="27" spans="1:3" ht="15">
      <c r="A27" s="61"/>
      <c r="C27" s="61"/>
    </row>
    <row r="28" spans="1:3" ht="15">
      <c r="A28" s="61"/>
      <c r="C28" s="61"/>
    </row>
    <row r="29" spans="1:3" ht="15">
      <c r="A29" s="61"/>
      <c r="C29" s="61"/>
    </row>
    <row r="30" spans="1:3" ht="15">
      <c r="A30" s="61"/>
      <c r="C30" s="61"/>
    </row>
    <row r="31" spans="1:3" ht="15">
      <c r="A31" s="61"/>
      <c r="C31" s="61"/>
    </row>
    <row r="32" spans="1:3" ht="15">
      <c r="A32" s="61"/>
      <c r="C32" s="61"/>
    </row>
    <row r="33" spans="1:3" ht="15">
      <c r="A33" s="61"/>
      <c r="C33" s="61"/>
    </row>
    <row r="34" spans="1:3" ht="15">
      <c r="A34" s="61"/>
      <c r="C34" s="61"/>
    </row>
    <row r="35" spans="1:3" ht="15">
      <c r="A35" s="61"/>
      <c r="C35" s="61"/>
    </row>
    <row r="36" spans="1:3" ht="15">
      <c r="A36" s="61"/>
      <c r="C36" s="61"/>
    </row>
    <row r="37" ht="15">
      <c r="A37" s="61"/>
    </row>
    <row r="38" ht="15">
      <c r="A38" s="61"/>
    </row>
    <row r="39" spans="1:3" ht="15">
      <c r="A39" s="61"/>
      <c r="C39" s="61"/>
    </row>
    <row r="40" spans="1:3" ht="15">
      <c r="A40" s="61"/>
      <c r="C40" s="61"/>
    </row>
    <row r="41" spans="1:3" ht="15">
      <c r="A41" s="61"/>
      <c r="C41" s="61"/>
    </row>
  </sheetData>
  <sheetProtection password="8863" sheet="1" objects="1"/>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3.19921875" style="36" customWidth="1"/>
    <col min="2" max="2" width="1" style="36" customWidth="1"/>
    <col min="3" max="3" width="25" style="36" customWidth="1"/>
    <col min="4" max="16384" width="7.09765625" style="36" customWidth="1"/>
  </cols>
  <sheetData>
    <row r="1" spans="1:3" ht="15">
      <c r="A1" s="54"/>
      <c r="C1"/>
    </row>
    <row r="2" ht="15.75" thickBot="1">
      <c r="A2" s="54"/>
    </row>
    <row r="3" spans="1:3" ht="15.75" thickBot="1">
      <c r="A3" s="54"/>
      <c r="C3" s="54"/>
    </row>
    <row r="4" spans="1:3" ht="15">
      <c r="A4" s="54"/>
      <c r="C4" s="54"/>
    </row>
    <row r="5" ht="15">
      <c r="C5" s="54"/>
    </row>
    <row r="6" ht="15.75" thickBot="1">
      <c r="C6" s="54"/>
    </row>
    <row r="7" spans="1:3" ht="15">
      <c r="A7" s="54"/>
      <c r="C7" s="54"/>
    </row>
    <row r="8" spans="1:3" ht="15">
      <c r="A8" s="54"/>
      <c r="C8" s="54"/>
    </row>
    <row r="9" spans="1:3" ht="15">
      <c r="A9" s="54"/>
      <c r="C9" s="54"/>
    </row>
    <row r="10" spans="1:3" ht="15">
      <c r="A10" s="54"/>
      <c r="C10" s="54"/>
    </row>
    <row r="11" spans="1:3" ht="15.75" thickBot="1">
      <c r="A11" s="54"/>
      <c r="C11" s="54"/>
    </row>
    <row r="12" ht="15">
      <c r="C12" s="54"/>
    </row>
    <row r="13" ht="15.75" thickBot="1">
      <c r="C13" s="54"/>
    </row>
    <row r="14" spans="1:3" ht="15.75" thickBot="1">
      <c r="A14" s="54"/>
      <c r="C14" s="54"/>
    </row>
    <row r="15" ht="15">
      <c r="A15" s="54"/>
    </row>
    <row r="16" ht="15.75" thickBot="1">
      <c r="A16" s="54"/>
    </row>
    <row r="17" spans="1:3" ht="15.75" thickBot="1">
      <c r="A17" s="54"/>
      <c r="C17" s="54"/>
    </row>
    <row r="18" ht="15">
      <c r="C18" s="54"/>
    </row>
    <row r="19" ht="15">
      <c r="C19" s="54"/>
    </row>
    <row r="20" spans="1:3" ht="15">
      <c r="A20" s="54"/>
      <c r="C20" s="54"/>
    </row>
    <row r="21" spans="1:3" ht="15">
      <c r="A21" s="54"/>
      <c r="C21" s="54"/>
    </row>
    <row r="22" spans="1:3" ht="15">
      <c r="A22" s="54"/>
      <c r="C22" s="54"/>
    </row>
    <row r="23" spans="1:3" ht="15">
      <c r="A23" s="54"/>
      <c r="C23" s="54"/>
    </row>
    <row r="24" ht="15">
      <c r="A24" s="54"/>
    </row>
    <row r="25" ht="15">
      <c r="A25" s="54"/>
    </row>
    <row r="26" spans="1:3" ht="15.75" thickBot="1">
      <c r="A26" s="54"/>
      <c r="C26" s="54"/>
    </row>
    <row r="27" spans="1:3" ht="15">
      <c r="A27" s="54"/>
      <c r="C27" s="54"/>
    </row>
    <row r="28" spans="1:3" ht="15">
      <c r="A28" s="54"/>
      <c r="C28" s="54"/>
    </row>
    <row r="29" spans="1:3" ht="15">
      <c r="A29" s="54"/>
      <c r="C29" s="54"/>
    </row>
    <row r="30" spans="1:3" ht="15">
      <c r="A30" s="54"/>
      <c r="C30" s="54"/>
    </row>
    <row r="31" spans="1:3" ht="15">
      <c r="A31" s="54"/>
      <c r="C31" s="54"/>
    </row>
    <row r="32" spans="1:3" ht="15">
      <c r="A32" s="54"/>
      <c r="C32" s="54"/>
    </row>
    <row r="33" spans="1:3" ht="15">
      <c r="A33" s="54"/>
      <c r="C33" s="54"/>
    </row>
    <row r="34" spans="1:3" ht="15">
      <c r="A34" s="54"/>
      <c r="C34" s="54"/>
    </row>
    <row r="35" spans="1:3" ht="15">
      <c r="A35" s="54"/>
      <c r="C35" s="54"/>
    </row>
    <row r="36" spans="1:3" ht="15">
      <c r="A36" s="54"/>
      <c r="C36" s="54"/>
    </row>
    <row r="37" ht="15">
      <c r="A37" s="54"/>
    </row>
    <row r="38" ht="15">
      <c r="A38" s="54"/>
    </row>
    <row r="39" spans="1:3" ht="15">
      <c r="A39" s="54"/>
      <c r="C39" s="54"/>
    </row>
    <row r="40" spans="1:3" ht="15">
      <c r="A40" s="54"/>
      <c r="C40" s="54"/>
    </row>
    <row r="41" spans="1:3" ht="15">
      <c r="A41" s="54"/>
      <c r="C41" s="54"/>
    </row>
  </sheetData>
  <sheetProtection password="8863" sheet="1" object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OK</Manager>
  <Company>VAE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&amp; P/L</dc:title>
  <dc:subject/>
  <dc:creator> Hung Son</dc:creator>
  <cp:keywords/>
  <dc:description/>
  <cp:lastModifiedBy>User</cp:lastModifiedBy>
  <cp:lastPrinted>2010-07-22T08:13:13Z</cp:lastPrinted>
  <dcterms:created xsi:type="dcterms:W3CDTF">1999-04-20T09:28:39Z</dcterms:created>
  <dcterms:modified xsi:type="dcterms:W3CDTF">2010-07-22T08:21:05Z</dcterms:modified>
  <cp:category/>
  <cp:version/>
  <cp:contentType/>
  <cp:contentStatus/>
</cp:coreProperties>
</file>